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4jCL7ZpCImco+aXqiQ2CVmADcPBd7M5r/3Fofq/e2RJEvnTl8TwKtiVZ46jKwsvel13XwunbtrpemvmJNGwcUw==" workbookSaltValue="OLmW675xEfn8VI0FFq6i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AN12" i="11"/>
  <c r="E12" i="6"/>
  <c r="H13" i="12"/>
  <c r="F13" i="7"/>
  <c r="T13" i="16"/>
  <c r="AZ11" i="11"/>
  <c r="P15" i="17"/>
  <c r="BL15" i="11"/>
  <c r="BJ10" i="11"/>
  <c r="BH11" i="11"/>
  <c r="T11" i="11"/>
  <c r="BH12" i="16"/>
  <c r="T13" i="20"/>
  <c r="BD9" i="8"/>
  <c r="L16" i="2"/>
  <c r="V9" i="16"/>
  <c r="BF15" i="13"/>
  <c r="BG15" i="13"/>
  <c r="BA18" i="13"/>
  <c r="BE15" i="13"/>
  <c r="BF16" i="13"/>
  <c r="W20" i="20"/>
  <c r="AA20" i="20"/>
  <c r="M20" i="20"/>
  <c r="AV20" i="20"/>
  <c r="AP20" i="20"/>
  <c r="BD17" i="8" l="1"/>
  <c r="BG12" i="8"/>
  <c r="K12" i="7" s="1"/>
  <c r="BG10" i="8"/>
  <c r="X12" i="21"/>
  <c r="V15" i="11"/>
  <c r="BG10" i="11"/>
  <c r="P17" i="17"/>
  <c r="BK9" i="11"/>
  <c r="BJ11" i="11"/>
  <c r="BH17" i="11"/>
  <c r="BU15" i="17"/>
  <c r="BV16" i="16"/>
  <c r="BV10" i="16"/>
  <c r="BU12" i="17"/>
  <c r="AP16" i="20"/>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BH17" i="16"/>
  <c r="BM16" i="11"/>
  <c r="BL17" i="11"/>
  <c r="BK12" i="11"/>
  <c r="BF10" i="11"/>
  <c r="BK15" i="11"/>
  <c r="V11" i="11"/>
  <c r="BI10" i="11"/>
  <c r="Q10" i="21"/>
  <c r="V9" i="11"/>
  <c r="R10" i="21"/>
  <c r="R13" i="21" s="1"/>
  <c r="BI17" i="11"/>
  <c r="BG9" i="11"/>
  <c r="BL11" i="11"/>
  <c r="BM15" i="11"/>
  <c r="AP17" i="20"/>
  <c r="BW9" i="20"/>
  <c r="BW17" i="20"/>
  <c r="BW16" i="20"/>
  <c r="BV15" i="16"/>
  <c r="BW15" i="20"/>
  <c r="BU9" i="17"/>
  <c r="BU17" i="17"/>
  <c r="S11" i="17"/>
  <c r="AA15" i="16"/>
  <c r="V10" i="16"/>
  <c r="S15" i="17"/>
  <c r="BK10" i="11"/>
  <c r="BK13" i="11" s="1"/>
  <c r="BM9" i="11"/>
  <c r="BG16" i="11"/>
  <c r="BK16" i="11"/>
  <c r="BL10" i="11"/>
  <c r="BF12" i="11"/>
  <c r="S15" i="16"/>
  <c r="S18" i="16" s="1"/>
  <c r="AA10" i="16"/>
  <c r="X12" i="17"/>
  <c r="BG11" i="13"/>
  <c r="F15" i="16"/>
  <c r="BL15" i="16" s="1"/>
  <c r="BE12" i="21"/>
  <c r="F11" i="11"/>
  <c r="AQ11" i="11" s="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L20" i="17"/>
  <c r="AM20" i="21"/>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AW20" i="17"/>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<sst xmlns="http://schemas.openxmlformats.org/spreadsheetml/2006/main" count="2102" uniqueCount="915">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</sst>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vNCYtOzIpeRUuxMYPBKB3mOE50DQNrYf9POAOUJrVHxOXFE1XOp9Q5fAh7jBRnPeAf2k8BDNeRLjJ1Y7GEKFw==" saltValue="yptH6hoqqAXv1uEOb4rs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LA RIOJA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2</v>
      </c>
      <c r="F10" s="226">
        <f>IF(ISNUMBER(Datos!K10),Datos!K10," - ")</f>
        <v>3</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10.126168224299066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2</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580</v>
      </c>
      <c r="D16" s="225">
        <f>IF(ISNUMBER(IF(D_I="SI",Datos!I16,Datos!I16+Datos!AC16)),IF(D_I="SI",Datos!I16,Datos!I16+Datos!AC16)," - ")</f>
        <v>580</v>
      </c>
      <c r="E16" s="226">
        <f>IF(ISNUMBER(IF(D_I="SI",Datos!J16,Datos!J16+Datos!AD16)),IF(D_I="SI",Datos!J16,Datos!J16+Datos!AD16)," - ")</f>
        <v>259</v>
      </c>
      <c r="F16" s="226">
        <f>IF(ISNUMBER(IF(D_I="SI",Datos!K16,Datos!K16+Datos!AE16)),IF(D_I="SI",Datos!K16,Datos!K16+Datos!AE16)," - ")</f>
        <v>269</v>
      </c>
      <c r="G16" s="1034" t="str">
        <f>IF(Datos!E16&lt;&gt;"",Datos!E16,Datos!D16)</f>
        <v>04</v>
      </c>
      <c r="H16" s="227">
        <f>IF(ISNUMBER(IF(D_I="SI",Datos!L16,Datos!L16+Datos!AF16)),IF(D_I="SI",Datos!L16,Datos!L16+Datos!AF16)," - ")</f>
        <v>570</v>
      </c>
      <c r="I16" s="1044" t="str">
        <f>IF(ISNUMBER(Datos!AS16/Datos!BM16),Datos!AS16/Datos!BM16," - ")</f>
        <v xml:space="preserve"> - </v>
      </c>
      <c r="J16" s="1045">
        <f>IF(ISNUMBER(Datos!BY16/Datos!CN16),Datos!BY16/Datos!CN16," - ")</f>
        <v>0</v>
      </c>
      <c r="K16" s="230">
        <f t="shared" si="3"/>
        <v>-1.7241379310344827E-2</v>
      </c>
      <c r="L16" s="1025">
        <f>IF(ISNUMBER(NºAsuntos!I16/NºAsuntos!G16),(NºAsuntos!I16/NºAsuntos!G16)*11," - ")</f>
        <v>23.308550185873607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34</v>
      </c>
      <c r="D17" s="225">
        <f>IF(ISNUMBER(IF(D_I="SI",Datos!I17,Datos!I17+Datos!AC17)),IF(D_I="SI",Datos!I17,Datos!I17+Datos!AC17)," - ")</f>
        <v>34</v>
      </c>
      <c r="E17" s="226">
        <f>IF(ISNUMBER(IF(D_I="SI",Datos!J17,Datos!J17+Datos!AD17)),IF(D_I="SI",Datos!J17,Datos!J17+Datos!AD17)," - ")</f>
        <v>17</v>
      </c>
      <c r="F17" s="226">
        <f>IF(ISNUMBER(IF(D_I="SI",Datos!K17,Datos!K17+Datos!AE17)),IF(D_I="SI",Datos!K17,Datos!K17+Datos!AE17)," - ")</f>
        <v>27</v>
      </c>
      <c r="G17" s="1034" t="str">
        <f>IF(Datos!E17&lt;&gt;"",Datos!E17,Datos!D17)</f>
        <v>37</v>
      </c>
      <c r="H17" s="227">
        <f>IF(ISNUMBER(IF(D_I="SI",Datos!L17,Datos!L17+Datos!AF17)),IF(D_I="SI",Datos!L17,Datos!L17+Datos!AF17)," - ")</f>
        <v>24</v>
      </c>
      <c r="I17" s="1044" t="str">
        <f>IF(ISNUMBER(Datos!AS17/Datos!BM17),Datos!AS17/Datos!BM17," - ")</f>
        <v xml:space="preserve"> - </v>
      </c>
      <c r="J17" s="1045" t="str">
        <f>IF(ISNUMBER((Datos!BY17+Datos!BZ17)/Datos!CN17),(Datos!BY17+Datos!BZ17)/Datos!CN17," - ")</f>
        <v xml:space="preserve"> - </v>
      </c>
      <c r="K17" s="230">
        <f t="shared" si="3"/>
        <v>-0.29411764705882354</v>
      </c>
      <c r="L17" s="1025">
        <f>IF(ISNUMBER(NºAsuntos!I17/NºAsuntos!G17),(NºAsuntos!I17/NºAsuntos!G17)*11," - ")</f>
        <v>9.7777777777777768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614</v>
      </c>
      <c r="D18" s="1049">
        <f>SUBTOTAL(9,D15:D17)</f>
        <v>614</v>
      </c>
      <c r="E18" s="1050">
        <f>SUBTOTAL(9,E15:E17)</f>
        <v>276</v>
      </c>
      <c r="F18" s="1050">
        <f>SUBTOTAL(9,F15:F17)</f>
        <v>296</v>
      </c>
      <c r="G18" s="1052" t="str">
        <f ca="1">INDIRECT(CONCATENATE("G",ROW()-1))</f>
        <v>37</v>
      </c>
      <c r="H18" s="1053">
        <f ca="1">SUMIF(G$14:G17,G18,H$14:H17)</f>
        <v>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618</v>
      </c>
      <c r="D19" s="1071">
        <f>SUBTOTAL(9,D9:D18)</f>
        <v>618</v>
      </c>
      <c r="E19" s="1072">
        <f>SUBTOTAL(9,E9:E18)</f>
        <v>278</v>
      </c>
      <c r="F19" s="1072">
        <f>SUBTOTAL(9,F9:F18)</f>
        <v>299</v>
      </c>
      <c r="G19" s="1073"/>
      <c r="H19" s="1074">
        <f ca="1">SUMIF(B9:B18,"TOTAL",H9:H18)</f>
        <v>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AX7nkyj+5QaNdtJCB6XGp/4lqqq+GRmZ3ulH399DRT0v/KvyPhOb1b1nQpTOaKMrXtfGdgzNrlE3PZSalSrRw==" saltValue="0XIM0PbdCSa042KdirK3+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lIVevEwfSj6Uunl/c0SnzKGLMURU6tLDRxWe9jM8S+NEMmqUTz7jyN/MHm/6NzlUiatTkZVm78Ze8vxXlFBWQ==" saltValue="VZmjsN7r9Hq7VMYOKFLn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2</v>
      </c>
      <c r="K10" s="181">
        <v>3</v>
      </c>
      <c r="L10" s="181">
        <v>3</v>
      </c>
      <c r="M10" s="181">
        <v>2</v>
      </c>
      <c r="N10" s="181">
        <v>0</v>
      </c>
      <c r="O10" s="181">
        <v>0</v>
      </c>
      <c r="P10" s="181">
        <v>0</v>
      </c>
      <c r="Q10" s="181">
        <v>1</v>
      </c>
      <c r="R10" s="181">
        <v>4</v>
      </c>
      <c r="S10" s="181">
        <v>0</v>
      </c>
      <c r="T10" s="181">
        <v>1</v>
      </c>
      <c r="U10" s="181">
        <v>1</v>
      </c>
      <c r="V10" s="181">
        <v>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910</v>
      </c>
      <c r="J12" s="183">
        <v>268</v>
      </c>
      <c r="K12" s="183">
        <v>620</v>
      </c>
      <c r="L12" s="183">
        <v>558</v>
      </c>
      <c r="M12" s="183">
        <v>187</v>
      </c>
      <c r="N12" s="183">
        <v>253</v>
      </c>
      <c r="O12" s="181">
        <v>138</v>
      </c>
      <c r="P12" s="183">
        <v>135</v>
      </c>
      <c r="Q12" s="183">
        <v>165</v>
      </c>
      <c r="R12" s="183">
        <v>1488</v>
      </c>
      <c r="S12" s="183">
        <v>1161</v>
      </c>
      <c r="T12" s="183">
        <v>363</v>
      </c>
      <c r="U12" s="183">
        <v>482</v>
      </c>
      <c r="V12" s="183">
        <v>1042</v>
      </c>
      <c r="W12" s="183">
        <v>126</v>
      </c>
      <c r="X12" s="189">
        <v>228</v>
      </c>
      <c r="Y12" s="191">
        <v>29</v>
      </c>
      <c r="Z12" s="181">
        <v>26</v>
      </c>
      <c r="AA12" s="181">
        <v>22</v>
      </c>
      <c r="AB12" s="181">
        <v>33</v>
      </c>
      <c r="AC12" s="183">
        <v>0</v>
      </c>
      <c r="AD12" s="183">
        <v>0</v>
      </c>
      <c r="AE12" s="183">
        <v>0</v>
      </c>
      <c r="AF12" s="189">
        <v>0</v>
      </c>
      <c r="AG12" s="202">
        <v>31</v>
      </c>
      <c r="AH12" s="183">
        <v>39</v>
      </c>
      <c r="AI12" s="183">
        <v>43</v>
      </c>
      <c r="AJ12" s="203">
        <v>27</v>
      </c>
      <c r="AK12" s="182">
        <v>0</v>
      </c>
      <c r="AL12" s="183">
        <v>0</v>
      </c>
      <c r="AM12" s="183">
        <v>0</v>
      </c>
      <c r="AN12" s="189">
        <v>0</v>
      </c>
      <c r="AO12" s="259">
        <v>2</v>
      </c>
      <c r="AP12" s="155">
        <v>2</v>
      </c>
      <c r="AQ12" s="155">
        <v>2</v>
      </c>
      <c r="AR12" s="154">
        <v>2</v>
      </c>
      <c r="AS12" s="340" t="s">
        <v>794</v>
      </c>
      <c r="AT12" s="203"/>
      <c r="AU12" s="202"/>
      <c r="AV12" s="203"/>
      <c r="AW12" s="202"/>
      <c r="AX12" s="203"/>
      <c r="AY12" s="126">
        <f t="shared" si="1"/>
        <v>1192</v>
      </c>
      <c r="AZ12" s="127">
        <f t="shared" si="1"/>
        <v>402</v>
      </c>
      <c r="BA12" s="127">
        <f t="shared" si="1"/>
        <v>525</v>
      </c>
      <c r="BB12" s="127">
        <f t="shared" si="1"/>
        <v>1069</v>
      </c>
      <c r="BC12" s="125">
        <f>IF(ISNUMBER(X12),X12," - ")</f>
        <v>228</v>
      </c>
      <c r="BD12" s="126">
        <f t="shared" si="2"/>
        <v>1.3059701492537314</v>
      </c>
      <c r="BE12" s="127">
        <f t="shared" si="3"/>
        <v>2.0361904761904763</v>
      </c>
      <c r="BF12" s="127">
        <f t="shared" si="4"/>
        <v>0.43428571428571427</v>
      </c>
      <c r="BG12" s="196">
        <f t="shared" si="5"/>
        <v>3.0361904761904763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914</v>
      </c>
      <c r="J13" s="184">
        <f t="shared" si="6"/>
        <v>270</v>
      </c>
      <c r="K13" s="184">
        <f t="shared" si="6"/>
        <v>623</v>
      </c>
      <c r="L13" s="184">
        <f t="shared" si="6"/>
        <v>561</v>
      </c>
      <c r="M13" s="184">
        <f t="shared" si="6"/>
        <v>189</v>
      </c>
      <c r="N13" s="184">
        <f t="shared" si="6"/>
        <v>253</v>
      </c>
      <c r="O13" s="184">
        <f t="shared" si="6"/>
        <v>138</v>
      </c>
      <c r="P13" s="184">
        <f t="shared" si="6"/>
        <v>135</v>
      </c>
      <c r="Q13" s="184">
        <f t="shared" si="6"/>
        <v>166</v>
      </c>
      <c r="R13" s="184">
        <f t="shared" si="6"/>
        <v>1492</v>
      </c>
      <c r="S13" s="184">
        <f t="shared" si="6"/>
        <v>1161</v>
      </c>
      <c r="T13" s="184">
        <f t="shared" si="6"/>
        <v>364</v>
      </c>
      <c r="U13" s="184">
        <f t="shared" si="6"/>
        <v>483</v>
      </c>
      <c r="V13" s="184">
        <f t="shared" si="6"/>
        <v>1042</v>
      </c>
      <c r="W13" s="184">
        <f t="shared" si="6"/>
        <v>127</v>
      </c>
      <c r="X13" s="184">
        <f t="shared" si="6"/>
        <v>228</v>
      </c>
      <c r="Y13" s="184">
        <f t="shared" si="6"/>
        <v>29</v>
      </c>
      <c r="Z13" s="184">
        <f t="shared" si="6"/>
        <v>26</v>
      </c>
      <c r="AA13" s="184">
        <f t="shared" si="6"/>
        <v>22</v>
      </c>
      <c r="AB13" s="184">
        <f t="shared" si="6"/>
        <v>33</v>
      </c>
      <c r="AC13" s="184">
        <f t="shared" si="6"/>
        <v>0</v>
      </c>
      <c r="AD13" s="184">
        <f t="shared" si="6"/>
        <v>0</v>
      </c>
      <c r="AE13" s="184">
        <f t="shared" si="6"/>
        <v>0</v>
      </c>
      <c r="AF13" s="184">
        <f>SUBTOTAL(9,AF9:AF12)</f>
        <v>0</v>
      </c>
      <c r="AG13" s="184">
        <f t="shared" ref="AG13:AT13" si="7">SUBTOTAL(9,AG8:AG12)</f>
        <v>31</v>
      </c>
      <c r="AH13" s="184">
        <f t="shared" si="7"/>
        <v>39</v>
      </c>
      <c r="AI13" s="184">
        <f t="shared" si="7"/>
        <v>43</v>
      </c>
      <c r="AJ13" s="184">
        <f t="shared" si="7"/>
        <v>27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1192</v>
      </c>
      <c r="AZ13" s="184">
        <f>SUBTOTAL(9,AZ8:AZ12)</f>
        <v>403</v>
      </c>
      <c r="BA13" s="184">
        <f>SUBTOTAL(9,BA8:BA12)</f>
        <v>526</v>
      </c>
      <c r="BB13" s="184">
        <f>SUBTOTAL(9,BB8:BB12)</f>
        <v>1069</v>
      </c>
      <c r="BC13" s="184">
        <f>SUBTOTAL(9,BC8:BC12)</f>
        <v>229</v>
      </c>
      <c r="BD13" s="205">
        <f>IF(ISNUMBER(BA13/AZ13),BA13/AZ13," - ")</f>
        <v>1.305210918114144</v>
      </c>
      <c r="BE13" s="206">
        <f>IF(ISNUMBER(BB13/BA13),BB13/BA13, " - ")</f>
        <v>2.0323193916349811</v>
      </c>
      <c r="BF13" s="206">
        <f>IF(ISNUMBER(BC13/BA13),BC13/BA13, " - ")</f>
        <v>0.43536121673003803</v>
      </c>
      <c r="BG13" s="207">
        <f>IF(ISNUMBER((AY13+AZ13)/BA13),(AY13+AZ13)/BA13," - ")</f>
        <v>3.0323193916349811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580</v>
      </c>
      <c r="J16" s="183">
        <v>259</v>
      </c>
      <c r="K16" s="183">
        <v>269</v>
      </c>
      <c r="L16" s="183">
        <v>570</v>
      </c>
      <c r="M16" s="183">
        <v>65</v>
      </c>
      <c r="N16" s="183">
        <v>104</v>
      </c>
      <c r="O16" s="181">
        <v>0</v>
      </c>
      <c r="P16" s="183">
        <v>11</v>
      </c>
      <c r="Q16" s="183">
        <v>5</v>
      </c>
      <c r="R16" s="183">
        <v>51</v>
      </c>
      <c r="S16" s="183">
        <v>477</v>
      </c>
      <c r="T16" s="183">
        <v>253</v>
      </c>
      <c r="U16" s="183">
        <v>245</v>
      </c>
      <c r="V16" s="183">
        <v>489</v>
      </c>
      <c r="W16" s="183">
        <v>42</v>
      </c>
      <c r="X16" s="189">
        <v>99</v>
      </c>
      <c r="Y16" s="202">
        <v>0</v>
      </c>
      <c r="Z16" s="183">
        <v>0</v>
      </c>
      <c r="AA16" s="183">
        <v>0</v>
      </c>
      <c r="AB16" s="183">
        <v>0</v>
      </c>
      <c r="AC16" s="183">
        <v>0</v>
      </c>
      <c r="AD16" s="183">
        <v>2</v>
      </c>
      <c r="AE16" s="183">
        <v>2</v>
      </c>
      <c r="AF16" s="189">
        <v>0</v>
      </c>
      <c r="AG16" s="202">
        <v>0</v>
      </c>
      <c r="AH16" s="183">
        <v>0</v>
      </c>
      <c r="AI16" s="183">
        <v>0</v>
      </c>
      <c r="AJ16" s="203">
        <v>0</v>
      </c>
      <c r="AK16" s="182">
        <v>1</v>
      </c>
      <c r="AL16" s="183">
        <v>8</v>
      </c>
      <c r="AM16" s="183">
        <v>7</v>
      </c>
      <c r="AN16" s="189">
        <v>2</v>
      </c>
      <c r="AO16" s="259">
        <v>2</v>
      </c>
      <c r="AP16" s="155">
        <v>2</v>
      </c>
      <c r="AQ16" s="155">
        <v>2</v>
      </c>
      <c r="AR16" s="155">
        <v>2</v>
      </c>
      <c r="AS16" s="340" t="s">
        <v>487</v>
      </c>
      <c r="AT16" s="203"/>
      <c r="AU16" s="202"/>
      <c r="AV16" s="203"/>
      <c r="AW16" s="202"/>
      <c r="AX16" s="203"/>
      <c r="AY16" s="126">
        <f t="shared" si="9"/>
        <v>477</v>
      </c>
      <c r="AZ16" s="127">
        <f t="shared" si="9"/>
        <v>253</v>
      </c>
      <c r="BA16" s="127">
        <f t="shared" si="9"/>
        <v>245</v>
      </c>
      <c r="BB16" s="127">
        <f t="shared" si="9"/>
        <v>489</v>
      </c>
      <c r="BC16" s="125">
        <f>IF(ISNUMBER(W16),W16," - ")</f>
        <v>42</v>
      </c>
      <c r="BD16" s="126">
        <f t="shared" ref="BD16" si="11">IF(ISNUMBER(BA16/AZ16),BA16/AZ16," - ")</f>
        <v>0.96837944664031617</v>
      </c>
      <c r="BE16" s="127">
        <f t="shared" ref="BE16" si="12">IF(ISNUMBER(BB16/BA16),BB16/BA16, " - ")</f>
        <v>1.9959183673469387</v>
      </c>
      <c r="BF16" s="127">
        <f t="shared" ref="BF16" si="13">IF(ISNUMBER(BC16/BA16),BC16/BA16, " - ")</f>
        <v>0.17142857142857143</v>
      </c>
      <c r="BG16" s="196">
        <f t="shared" si="10"/>
        <v>2.9795918367346941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34</v>
      </c>
      <c r="J17" s="183">
        <v>17</v>
      </c>
      <c r="K17" s="183">
        <v>27</v>
      </c>
      <c r="L17" s="183">
        <v>24</v>
      </c>
      <c r="M17" s="183">
        <v>6</v>
      </c>
      <c r="N17" s="183">
        <v>14</v>
      </c>
      <c r="O17" s="183">
        <v>0</v>
      </c>
      <c r="P17" s="183">
        <v>0</v>
      </c>
      <c r="Q17" s="183">
        <v>0</v>
      </c>
      <c r="R17" s="183">
        <v>0</v>
      </c>
      <c r="S17" s="183">
        <v>51</v>
      </c>
      <c r="T17" s="183">
        <v>34</v>
      </c>
      <c r="U17" s="183">
        <v>37</v>
      </c>
      <c r="V17" s="183">
        <v>48</v>
      </c>
      <c r="W17" s="183">
        <v>3</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51</v>
      </c>
      <c r="AZ17" s="129">
        <f t="shared" si="14"/>
        <v>34</v>
      </c>
      <c r="BA17" s="129">
        <f t="shared" si="14"/>
        <v>37</v>
      </c>
      <c r="BB17" s="129">
        <f t="shared" si="14"/>
        <v>48</v>
      </c>
      <c r="BC17" s="125">
        <f>IF(ISNUMBER(W17),W17," - ")</f>
        <v>3</v>
      </c>
      <c r="BD17" s="126">
        <f>IF(ISNUMBER(BA17/AZ17),BA17/AZ17," - ")</f>
        <v>1.088235294117647</v>
      </c>
      <c r="BE17" s="127">
        <f>IF(ISNUMBER(BB17/BA17),BB17/BA17, " - ")</f>
        <v>1.2972972972972974</v>
      </c>
      <c r="BF17" s="127">
        <f>IF(ISNUMBER(BC17/BA17),BC17/BA17, " - ")</f>
        <v>8.1081081081081086E-2</v>
      </c>
      <c r="BG17" s="196">
        <f>IF(ISNUMBER((AY17+AZ17)/BA17),(AY17+AZ17)/BA17," - ")</f>
        <v>2.2972972972972974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614</v>
      </c>
      <c r="J18" s="184">
        <f t="shared" si="15"/>
        <v>276</v>
      </c>
      <c r="K18" s="184">
        <f t="shared" si="15"/>
        <v>296</v>
      </c>
      <c r="L18" s="184">
        <f t="shared" si="15"/>
        <v>594</v>
      </c>
      <c r="M18" s="184">
        <f t="shared" si="15"/>
        <v>71</v>
      </c>
      <c r="N18" s="184">
        <f t="shared" si="15"/>
        <v>118</v>
      </c>
      <c r="O18" s="184">
        <f t="shared" si="15"/>
        <v>0</v>
      </c>
      <c r="P18" s="184">
        <f t="shared" si="15"/>
        <v>11</v>
      </c>
      <c r="Q18" s="184">
        <f t="shared" si="15"/>
        <v>5</v>
      </c>
      <c r="R18" s="184">
        <f t="shared" si="15"/>
        <v>51</v>
      </c>
      <c r="S18" s="184">
        <f t="shared" si="15"/>
        <v>528</v>
      </c>
      <c r="T18" s="184">
        <f t="shared" si="15"/>
        <v>287</v>
      </c>
      <c r="U18" s="184">
        <f t="shared" si="15"/>
        <v>282</v>
      </c>
      <c r="V18" s="184">
        <f t="shared" si="15"/>
        <v>537</v>
      </c>
      <c r="W18" s="184">
        <f t="shared" si="15"/>
        <v>45</v>
      </c>
      <c r="X18" s="184">
        <f t="shared" si="15"/>
        <v>117</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1</v>
      </c>
      <c r="AL18" s="184">
        <f t="shared" si="15"/>
        <v>8</v>
      </c>
      <c r="AM18" s="184">
        <f t="shared" si="15"/>
        <v>7</v>
      </c>
      <c r="AN18" s="184">
        <f t="shared" si="15"/>
        <v>2</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528</v>
      </c>
      <c r="AZ18" s="184">
        <f>SUBTOTAL(9,AZ14:AZ17)</f>
        <v>287</v>
      </c>
      <c r="BA18" s="184">
        <f>SUBTOTAL(9,BA14:BA17)</f>
        <v>282</v>
      </c>
      <c r="BB18" s="184">
        <f>SUBTOTAL(9,BB14:BB17)</f>
        <v>537</v>
      </c>
      <c r="BC18" s="184">
        <f>SUBTOTAL(9,BC14:BC17)</f>
        <v>45</v>
      </c>
      <c r="BD18" s="205">
        <f>IF(ISNUMBER(BA18/AZ18),BA18/AZ18," - ")</f>
        <v>0.98257839721254359</v>
      </c>
      <c r="BE18" s="206">
        <f>IF(ISNUMBER(BB18/BA18),BB18/BA18, " - ")</f>
        <v>1.9042553191489362</v>
      </c>
      <c r="BF18" s="206">
        <f>IF(ISNUMBER(BC18/BA18),BC18/BA18, " - ")</f>
        <v>0.15957446808510639</v>
      </c>
      <c r="BG18" s="207">
        <f>IF(ISNUMBER((AY18+AZ18)/BA18),(AY18+AZ18)/BA18," - ")</f>
        <v>2.8900709219858154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1528</v>
      </c>
      <c r="J19" s="134">
        <f t="shared" si="18"/>
        <v>546</v>
      </c>
      <c r="K19" s="134">
        <f t="shared" si="18"/>
        <v>919</v>
      </c>
      <c r="L19" s="134">
        <f t="shared" si="18"/>
        <v>1155</v>
      </c>
      <c r="M19" s="134">
        <f t="shared" si="18"/>
        <v>260</v>
      </c>
      <c r="N19" s="134">
        <f t="shared" si="18"/>
        <v>371</v>
      </c>
      <c r="O19" s="134">
        <f t="shared" si="18"/>
        <v>138</v>
      </c>
      <c r="P19" s="134">
        <f t="shared" si="18"/>
        <v>146</v>
      </c>
      <c r="Q19" s="134">
        <f t="shared" si="18"/>
        <v>171</v>
      </c>
      <c r="R19" s="134">
        <f t="shared" si="18"/>
        <v>1543</v>
      </c>
      <c r="S19" s="134">
        <f t="shared" si="18"/>
        <v>1689</v>
      </c>
      <c r="T19" s="134">
        <f t="shared" si="18"/>
        <v>651</v>
      </c>
      <c r="U19" s="134">
        <f t="shared" si="18"/>
        <v>765</v>
      </c>
      <c r="V19" s="134">
        <f t="shared" si="18"/>
        <v>1579</v>
      </c>
      <c r="W19" s="134">
        <f t="shared" si="18"/>
        <v>172</v>
      </c>
      <c r="X19" s="134">
        <f t="shared" si="18"/>
        <v>345</v>
      </c>
      <c r="Y19" s="134">
        <f t="shared" si="18"/>
        <v>29</v>
      </c>
      <c r="Z19" s="134">
        <f t="shared" si="18"/>
        <v>26</v>
      </c>
      <c r="AA19" s="134">
        <f t="shared" si="18"/>
        <v>22</v>
      </c>
      <c r="AB19" s="134">
        <f t="shared" si="18"/>
        <v>33</v>
      </c>
      <c r="AC19" s="134">
        <f t="shared" si="18"/>
        <v>0</v>
      </c>
      <c r="AD19" s="134">
        <f t="shared" si="18"/>
        <v>2</v>
      </c>
      <c r="AE19" s="134">
        <f t="shared" si="18"/>
        <v>2</v>
      </c>
      <c r="AF19" s="134">
        <f t="shared" si="18"/>
        <v>0</v>
      </c>
      <c r="AG19" s="134">
        <f t="shared" si="18"/>
        <v>31</v>
      </c>
      <c r="AH19" s="134">
        <f t="shared" si="18"/>
        <v>39</v>
      </c>
      <c r="AI19" s="134">
        <f t="shared" si="18"/>
        <v>43</v>
      </c>
      <c r="AJ19" s="134">
        <f t="shared" si="18"/>
        <v>27</v>
      </c>
      <c r="AK19" s="134">
        <f t="shared" si="18"/>
        <v>1</v>
      </c>
      <c r="AL19" s="134">
        <f t="shared" si="18"/>
        <v>8</v>
      </c>
      <c r="AM19" s="134">
        <f t="shared" si="18"/>
        <v>7</v>
      </c>
      <c r="AN19" s="210">
        <f t="shared" si="18"/>
        <v>2</v>
      </c>
      <c r="AO19" s="211">
        <v>3</v>
      </c>
      <c r="AP19" s="211">
        <v>2</v>
      </c>
      <c r="AQ19" s="211">
        <v>2</v>
      </c>
      <c r="AR19" s="211">
        <v>2</v>
      </c>
      <c r="AS19" s="153">
        <f t="shared" si="18"/>
        <v>0</v>
      </c>
      <c r="AT19" s="153">
        <f t="shared" si="18"/>
        <v>0</v>
      </c>
      <c r="AU19" s="211"/>
      <c r="AV19" s="212"/>
      <c r="AW19" s="211"/>
      <c r="AX19" s="212"/>
      <c r="AY19" s="133">
        <f>SUBTOTAL(9,AY9:AY18)</f>
        <v>1720</v>
      </c>
      <c r="AZ19" s="134">
        <f>SUBTOTAL(9,AZ9:AZ18)</f>
        <v>690</v>
      </c>
      <c r="BA19" s="134">
        <f>SUBTOTAL(9,BA9:BA18)</f>
        <v>808</v>
      </c>
      <c r="BB19" s="134">
        <f>SUBTOTAL(9,BB9:BB18)</f>
        <v>1606</v>
      </c>
      <c r="BC19" s="135">
        <f>SUBTOTAL(9,BC9:BC18)</f>
        <v>274</v>
      </c>
      <c r="BD19" s="213">
        <f>IF(ISNUMBER(BA19/AZ19),BA19/AZ19," - ")</f>
        <v>1.1710144927536232</v>
      </c>
      <c r="BE19" s="210">
        <f>IF(ISNUMBER(BB19/BA19),BB19/BA19, " - ")</f>
        <v>1.9876237623762376</v>
      </c>
      <c r="BF19" s="210">
        <f>IF(ISNUMBER(BC19/BA19),BC19/BA19, " - ")</f>
        <v>0.33910891089108913</v>
      </c>
      <c r="BG19" s="135">
        <f>IF(ISNUMBER((AY19+AZ19)/BA19),(AY19+AZ19)/BA19," - ")</f>
        <v>2.9826732673267329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VaHM/ritjmIWOqUjN0PtYjymc9vBhlURBxJMrGEt0VgfQwY1Z+mCkQFNEVBDSDJu9ZHuDiii2Fl2tvqQpYqPg==" saltValue="KYt3MBVKFhnSo2OnpPVFF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5u06hFdnHS2HEijFX656vUVWjedp+fqAiH2rwelRIVj1b1RwKXWHEBSyu77qRX+XTE48YStQrWjaDmXvQTGw==" saltValue="a3sBz3hxegj+iUJppebBk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LA RIOJA</v>
      </c>
    </row>
    <row r="2" spans="1:78" ht="16.5" customHeight="1">
      <c r="C2" s="488" t="str">
        <f>Criterios!A10 &amp;"  "&amp;Criterios!B10 &amp; "  " &amp; IF(NOT(ISBLANK(Criterios!A11)),Criterios!A11 &amp;"  "&amp;Criterios!B11,"")</f>
        <v>Provincias  LA RIOJA  Resumenes por Partidos Judiciales  HARO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1</v>
      </c>
      <c r="AD10" s="334"/>
      <c r="AE10" s="484"/>
      <c r="AF10" s="332">
        <f>IF(ISNUMBER(Datos!L10),Datos!L10,"-")</f>
        <v>3</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135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33</v>
      </c>
      <c r="AI12" s="334" t="str">
        <f>IF(ISNUMBER(Datos!CD12),Datos!CD12,"-")</f>
        <v>-</v>
      </c>
      <c r="AJ12" s="334" t="str">
        <f>IF(ISNUMBER(Datos!EN12),Datos!EN12," - ")</f>
        <v xml:space="preserve"> - </v>
      </c>
      <c r="AK12" s="334"/>
      <c r="AL12" s="479"/>
      <c r="AM12" s="335">
        <f>IF(ISNUMBER(Datos!R12),Datos!R12," - ")</f>
        <v>1488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187</v>
      </c>
      <c r="BD12" s="229">
        <f>IF(ISNUMBER(Datos!N12),Datos!N12," - ")</f>
        <v>253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2.1836734693877551</v>
      </c>
      <c r="BH12" s="260">
        <f>IF(ISNUMBER(((IF(J_V="SI",Datos!L12/Datos!K12,(Datos!L12+Datos!AB12)/(Datos!K12+Datos!AA12)))*11)/factor_trimestre),((IF(J_V="SI",Datos!L12/Datos!K12,(Datos!L12+Datos!AB12)/(Datos!K12+Datos!AA12)))*11)/factor_trimestre," - ")</f>
        <v>2.7616822429906547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-1.9762845849802372E-2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135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166</v>
      </c>
      <c r="AD13" s="899">
        <f t="shared" si="1"/>
        <v>0</v>
      </c>
      <c r="AE13" s="899">
        <f t="shared" si="1"/>
        <v>0</v>
      </c>
      <c r="AF13" s="899">
        <f t="shared" si="1"/>
        <v>3</v>
      </c>
      <c r="AG13" s="899">
        <f t="shared" si="1"/>
        <v>0</v>
      </c>
      <c r="AH13" s="899">
        <f t="shared" si="1"/>
        <v>33</v>
      </c>
      <c r="AI13" s="899">
        <f t="shared" si="1"/>
        <v>0</v>
      </c>
      <c r="AJ13" s="899">
        <f t="shared" si="1"/>
        <v>0</v>
      </c>
      <c r="AK13" s="899">
        <f t="shared" si="1"/>
        <v>0</v>
      </c>
      <c r="AL13" s="899">
        <f t="shared" si="1"/>
        <v>0</v>
      </c>
      <c r="AM13" s="899">
        <f t="shared" si="1"/>
        <v>1492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189</v>
      </c>
      <c r="BD13" s="899">
        <f t="shared" si="1"/>
        <v>253</v>
      </c>
      <c r="BE13" s="899">
        <f t="shared" si="1"/>
        <v>0</v>
      </c>
      <c r="BF13" s="899">
        <f t="shared" si="1"/>
        <v>0</v>
      </c>
      <c r="BG13" s="899">
        <f>IF(ISNUMBER(Datos!K13/Datos!J13),Datos!K13/Datos!J13," - ")</f>
        <v>2.3074074074074074</v>
      </c>
      <c r="BH13" s="903">
        <f>IF(ISNUMBER(((Datos!L13/Datos!K13)*11)/factor_trimestre),((Datos!L13/Datos!K13)*11)/factor_trimestre," - ")</f>
        <v>2.7014446227929372</v>
      </c>
      <c r="BI13" s="899">
        <f>IF(ISNUMBER('Resol  Asuntos'!D13/NºAsuntos!G13),'Resol  Asuntos'!D13/NºAsuntos!G13," - ")</f>
        <v>0.2930232558139535</v>
      </c>
      <c r="BJ13" s="899" t="str">
        <f>IF(ISNUMBER(Datos!CI13/Datos!CJ13),Datos!CI13/Datos!CJ13," - ")</f>
        <v xml:space="preserve"> - </v>
      </c>
      <c r="BK13" s="899">
        <f>SUBTOTAL(9,BK8:BK12)</f>
        <v>0</v>
      </c>
      <c r="BL13" s="899">
        <f>IF(ISNUMBER((I13-AB13+L13)/(F13)),(I13-AB13+L13)/(F13)," - ")</f>
        <v>-0.75</v>
      </c>
      <c r="BM13" s="904">
        <f>SUBTOTAL(9,BM9:BM12)</f>
        <v>-0.21976284584980238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580</v>
      </c>
      <c r="G16" s="598">
        <f>IF(ISNUMBER(IF(D_I="SI",Datos!I16,Datos!I16+Datos!AC16)),IF(D_I="SI",Datos!I16,Datos!I16+Datos!AC16)," - ")</f>
        <v>580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269</v>
      </c>
      <c r="AC16" s="226">
        <f>IF(ISNUMBER(Datos!Q16),Datos!Q16," - ")</f>
        <v>5</v>
      </c>
      <c r="AD16" s="334"/>
      <c r="AE16" s="484"/>
      <c r="AF16" s="596">
        <f>IF(ISNUMBER(IF(D_I="SI",Datos!L16,Datos!L16+Datos!AF16)),IF(D_I="SI",Datos!L16,Datos!L16+Datos!AF16)," - ")</f>
        <v>570</v>
      </c>
      <c r="AG16" s="334"/>
      <c r="AH16" s="334"/>
      <c r="AI16" s="334"/>
      <c r="AJ16" s="334"/>
      <c r="AK16" s="334"/>
      <c r="AL16" s="479"/>
      <c r="AM16" s="335">
        <f>IF(ISNUMBER(Datos!R16),Datos!R16," - ")</f>
        <v>51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65</v>
      </c>
      <c r="BD16" s="229">
        <f>IF(ISNUMBER(Datos!N16),Datos!N16," - ")</f>
        <v>104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1.0386100386100385</v>
      </c>
      <c r="BH16" s="260">
        <f>IF(ISNUMBER(((IF(D_I="SI",Datos!L16/Datos!K16,(Datos!L16+Datos!AF16)/(Datos!K16+Datos!AE16)))*11)/factor_trimestre),((IF(D_I="SI",Datos!L16/Datos!K16,(Datos!L16+Datos!AF16)/(Datos!K16+Datos!AE16)))*11)/factor_trimestre," - ")</f>
        <v>6.3568773234200746</v>
      </c>
      <c r="BI16" s="243">
        <f>IF(ISNUMBER('Resol  Asuntos'!D16/NºAsuntos!G16),'Resol  Asuntos'!D16/NºAsuntos!G16," - ")</f>
        <v>0.24163568773234201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24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1.588235294117647</v>
      </c>
      <c r="BH17" s="260">
        <f>IF(ISNUMBER(((IF(D_I="SI",Datos!L17/Datos!K17,(Datos!L17+Datos!AF17)/(Datos!K17+Datos!AE17)))*11)/factor_trimestre),((IF(D_I="SI",Datos!L17/Datos!K17,(Datos!L17+Datos!AF17)/(Datos!K17+Datos!AE17)))*11)/factor_trimestre," - ")</f>
        <v>2.6666666666666665</v>
      </c>
      <c r="BI17" s="243">
        <f>IF(ISNUMBER('Resol  Asuntos'!D17/NºAsuntos!G17),'Resol  Asuntos'!D17/NºAsuntos!G17," - ")</f>
        <v>0.22222222222222221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580</v>
      </c>
      <c r="G18" s="898">
        <f>SUBTOTAL(9,G15:G17)</f>
        <v>614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296</v>
      </c>
      <c r="AC18" s="899">
        <f t="shared" si="4"/>
        <v>5</v>
      </c>
      <c r="AD18" s="899">
        <f t="shared" si="4"/>
        <v>0</v>
      </c>
      <c r="AE18" s="899">
        <f t="shared" si="4"/>
        <v>0</v>
      </c>
      <c r="AF18" s="899">
        <f t="shared" si="4"/>
        <v>594</v>
      </c>
      <c r="AG18" s="899">
        <f t="shared" si="4"/>
        <v>0</v>
      </c>
      <c r="AH18" s="899">
        <f t="shared" si="4"/>
        <v>0</v>
      </c>
      <c r="AI18" s="899">
        <f t="shared" si="4"/>
        <v>0</v>
      </c>
      <c r="AJ18" s="899">
        <f t="shared" si="4"/>
        <v>0</v>
      </c>
      <c r="AK18" s="899">
        <f t="shared" si="4"/>
        <v>0</v>
      </c>
      <c r="AL18" s="899">
        <f t="shared" si="4"/>
        <v>0</v>
      </c>
      <c r="AM18" s="899">
        <f t="shared" si="4"/>
        <v>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v>
      </c>
      <c r="BD18" s="899">
        <f t="shared" si="4"/>
        <v>118</v>
      </c>
      <c r="BE18" s="899">
        <f t="shared" si="4"/>
        <v>0</v>
      </c>
      <c r="BF18" s="899">
        <f t="shared" si="4"/>
        <v>0</v>
      </c>
      <c r="BG18" s="899">
        <f>IF(ISNUMBER(Datos!K18/Datos!J18),Datos!K18/Datos!J18," - ")</f>
        <v>1.0724637681159421</v>
      </c>
      <c r="BH18" s="903">
        <f>IF(ISNUMBER(((Datos!L18/Datos!K18)*11)/factor_trimestre),((Datos!L18/Datos!K18)*11)/factor_trimestre," - ")</f>
        <v>6.0202702702702702</v>
      </c>
      <c r="BI18" s="899">
        <f>SUBTOTAL(9,BI15:BI17)</f>
        <v>0.46385790995456422</v>
      </c>
      <c r="BJ18" s="899">
        <f>SUBTOTAL(9,BJ15:BJ17)</f>
        <v>0</v>
      </c>
      <c r="BK18" s="899">
        <f>SUBTOTAL(9,BK15:BK17)</f>
        <v>0</v>
      </c>
      <c r="BL18" s="899">
        <f>IF(ISNUMBER((I18-AB18+L18)/(F18)),(I18-AB18+L18)/(F18)," - ")</f>
        <v>-0.51034482758620692</v>
      </c>
      <c r="BM18" s="905">
        <f>IF(ISNUMBER((Datos!P18-Datos!Q18)/(Datos!R18-Datos!P18+Datos!Q18)),(Datos!P18-Datos!Q18)/(Datos!R18-Datos!P18+Datos!Q18)," - ")</f>
        <v>0.13333333333333333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584</v>
      </c>
      <c r="G19" s="820">
        <f t="shared" si="6"/>
        <v>618</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146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299</v>
      </c>
      <c r="AC19" s="821">
        <f t="shared" si="7"/>
        <v>171</v>
      </c>
      <c r="AD19" s="821">
        <f t="shared" si="7"/>
        <v>0</v>
      </c>
      <c r="AE19" s="821">
        <f t="shared" si="7"/>
        <v>0</v>
      </c>
      <c r="AF19" s="828">
        <f t="shared" si="7"/>
        <v>597</v>
      </c>
      <c r="AG19" s="828">
        <f t="shared" si="7"/>
        <v>0</v>
      </c>
      <c r="AH19" s="828">
        <f t="shared" si="7"/>
        <v>33</v>
      </c>
      <c r="AI19" s="828">
        <f t="shared" si="7"/>
        <v>0</v>
      </c>
      <c r="AJ19" s="821">
        <f t="shared" si="7"/>
        <v>0</v>
      </c>
      <c r="AK19" s="828">
        <f t="shared" si="7"/>
        <v>0</v>
      </c>
      <c r="AL19" s="828">
        <f t="shared" si="7"/>
        <v>0</v>
      </c>
      <c r="AM19" s="828">
        <f t="shared" si="7"/>
        <v>1543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260</v>
      </c>
      <c r="BD19" s="820">
        <f t="shared" si="7"/>
        <v>371</v>
      </c>
      <c r="BE19" s="820">
        <f t="shared" si="7"/>
        <v>0</v>
      </c>
      <c r="BF19" s="830">
        <f t="shared" si="7"/>
        <v>0</v>
      </c>
      <c r="BG19" s="915">
        <f>IF(ISNUMBER(Datos!K19/Datos!J19),Datos!K19/Datos!J19," - ")</f>
        <v>1.6831501831501832</v>
      </c>
      <c r="BH19" s="915">
        <f>IF(ISNUMBER(((Datos!L19/Datos!K19)*11)/factor_trimestre),((Datos!L19/Datos!K19)*11)/factor_trimestre," - ")</f>
        <v>3.7704026115342768</v>
      </c>
      <c r="BI19" s="813">
        <f>IF(ISNUMBER(Datos!J19/Datos!I19),Datos!J19/Datos!I19," - ")</f>
        <v>0.35732984293193715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-0.51198630136986301</v>
      </c>
      <c r="BM19" s="889">
        <f>IF(ISNUMBER((Datos!P19-Datos!Q19+R19)/(Datos!R19-Datos!P19+Datos!Q19-R19)),(Datos!P19-Datos!Q19+R19)/(Datos!R19-Datos!P19+Datos!Q19-R19)," - ")</f>
        <v>-1.5943877551020409E-2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332.55375505322445</v>
      </c>
      <c r="G21" s="552">
        <f>IF(ISNUMBER(STDEV(G8:G18)),STDEV(G8:G18),"-")</f>
        <v>319.78305145832854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149.33452380477866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83.581497154972439</v>
      </c>
      <c r="BD21" s="551"/>
      <c r="BE21" s="551">
        <f>IF(ISNUMBER(STDEV(BE8:BE18)),STDEV(BE8:BE18),"-")</f>
        <v>0</v>
      </c>
      <c r="BF21" s="556">
        <f>IF(ISNUMBER(STDEV(BF8:BF18)),STDEV(BF8:BF18),"-")</f>
        <v>0</v>
      </c>
      <c r="BG21" s="775">
        <f>IF(ISNUMBER(STDEV(BG8:BG18)),STDEV(BG8:BG18),"-")</f>
        <v>0.53727642927083763</v>
      </c>
      <c r="BH21" s="776">
        <f>IF(ISNUMBER(STDEV(BH8:BH18)),STDEV(BH8:BH18),"-")</f>
        <v>1.7659727944214525</v>
      </c>
      <c r="BI21" s="249">
        <f>IF(ISNUMBER(STDEV(BI8:BI18)),STDEV(BI8:BI18),"-")</f>
        <v>0.10991866380977605</v>
      </c>
      <c r="BJ21" s="230" t="str">
        <f>IF(ISNUMBER(BL21/BM21),BL21/BM21," - ")</f>
        <v xml:space="preserve"> - </v>
      </c>
      <c r="BK21" s="575"/>
      <c r="BL21" s="559">
        <f>IF(ISNUMBER(STDEV(BL8:BL18)),STDEV(BL8:BL18),"-")</f>
        <v>0.16946179756022406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IRjSHlfrmvFUfahicABb4wo9k85G1oeg020GdwqBjHAucUc7ambwwM/vB8gZEk5dqqnpREA0nnsNQ4nEhydigA==" saltValue="RzcYOlT4LNlJw3MLIdXs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LA RIOJA</v>
      </c>
    </row>
    <row r="2" spans="1:78" ht="16.5" customHeight="1">
      <c r="C2" s="528" t="str">
        <f>Criterios!A10 &amp;"  "&amp;Criterios!B10 &amp; "  " &amp; IF(NOT(ISBLANK(Criterios!A11)),Criterios!A11 &amp;"  "&amp;Criterios!B11,"")</f>
        <v>Provincias  LA RIOJA  Resumenes por Partidos Judiciales  HARO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1</v>
      </c>
      <c r="AA10" s="332">
        <f>IF(ISNUMBER(Datos!L10),Datos!L10,"-")</f>
        <v>3</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165</v>
      </c>
      <c r="AA12" s="332" t="str">
        <f>IF(ISNUMBER(IF(J_V="SI",Datos!L12,Datos!L12+Datos!AB12)-IF(Monitorios="SI",Datos!CD12,0)),
                          IF(J_V="SI",Datos!L12,Datos!L12+Datos!AB12)-IF(Monitorios="SI",Datos!CD12,0),
                          " - ")</f>
        <v xml:space="preserve"> - </v>
      </c>
      <c r="AB12" s="334"/>
      <c r="AC12" s="334"/>
      <c r="AD12" s="484"/>
      <c r="AE12" s="484">
        <f>IF(ISNUMBER(Datos!R12),Datos!R12," - ")</f>
        <v>1488</v>
      </c>
      <c r="AF12" s="229" t="str">
        <f>IF(ISNUMBER(Datos!BV12),Datos!BV12," - ")</f>
        <v xml:space="preserve"> - </v>
      </c>
      <c r="AG12" s="225" t="str">
        <f>IF(ISNUMBER(Datos!DV12),Datos!DV12," - ")</f>
        <v xml:space="preserve"> - </v>
      </c>
      <c r="AH12" s="298"/>
      <c r="AI12" s="227"/>
      <c r="AJ12" s="225">
        <f>IF(ISNUMBER(Datos!M12),Datos!M12," - ")</f>
        <v>187</v>
      </c>
      <c r="AK12" s="229">
        <f>IF(ISNUMBER(Datos!N12),Datos!N12," - ")</f>
        <v>253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2.7616822429906547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-1.9762845849802372E-2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135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166</v>
      </c>
      <c r="AA13" s="900">
        <f t="shared" si="2"/>
        <v>3</v>
      </c>
      <c r="AB13" s="900">
        <f t="shared" si="2"/>
        <v>0</v>
      </c>
      <c r="AC13" s="900">
        <f t="shared" si="2"/>
        <v>0</v>
      </c>
      <c r="AD13" s="900">
        <f t="shared" si="2"/>
        <v>0</v>
      </c>
      <c r="AE13" s="900">
        <f t="shared" si="2"/>
        <v>1492</v>
      </c>
      <c r="AF13" s="908">
        <f t="shared" si="2"/>
        <v>0</v>
      </c>
      <c r="AG13" s="908">
        <f t="shared" si="2"/>
        <v>0</v>
      </c>
      <c r="AH13" s="908">
        <f t="shared" si="2"/>
        <v>0</v>
      </c>
      <c r="AI13" s="908">
        <f t="shared" si="2"/>
        <v>0</v>
      </c>
      <c r="AJ13" s="908">
        <f t="shared" si="2"/>
        <v>189</v>
      </c>
      <c r="AK13" s="908">
        <f t="shared" si="2"/>
        <v>253</v>
      </c>
      <c r="AL13" s="908">
        <f t="shared" si="2"/>
        <v>0</v>
      </c>
      <c r="AM13" s="908">
        <f t="shared" si="2"/>
        <v>0</v>
      </c>
      <c r="AN13" s="908">
        <f t="shared" si="2"/>
        <v>0</v>
      </c>
      <c r="AO13" s="904">
        <f>IF(ISNUMBER(((NºAsuntos!I13/NºAsuntos!G13)*11)/factor_trimestre),((NºAsuntos!I13/NºAsuntos!G13)*11)/factor_trimestre," - ")</f>
        <v>2.762790697674419</v>
      </c>
      <c r="AP13" s="910" t="str">
        <f>IF(ISNUMBER(Datos!CI13/Datos!CJ13),Datos!CI13/Datos!CJ13," - ")</f>
        <v xml:space="preserve"> - </v>
      </c>
      <c r="AQ13" s="928">
        <f t="shared" ref="AQ13:AV13" si="3">SUBTOTAL(9,AQ9:AQ12)</f>
        <v>0</v>
      </c>
      <c r="AR13" s="928">
        <f t="shared" si="3"/>
        <v>-0.21976284584980238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580</v>
      </c>
      <c r="G16" s="225">
        <f>IF(ISNUMBER(IF(D_I="SI",Datos!I16,Datos!I16+Datos!AC16)),IF(D_I="SI",Datos!I16,Datos!I16+Datos!AC16)," - ")</f>
        <v>580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269</v>
      </c>
      <c r="Z16" s="619">
        <f>IF(ISNUMBER(Datos!Q16),Datos!Q16," - ")</f>
        <v>5</v>
      </c>
      <c r="AA16" s="332">
        <f>IF(ISNUMBER(IF(D_I="SI",Datos!L16,Datos!L16+Datos!AF16)),IF(D_I="SI",Datos!L16,Datos!L16+Datos!AF16)," - ")</f>
        <v>570</v>
      </c>
      <c r="AB16" s="334"/>
      <c r="AC16" s="334"/>
      <c r="AD16" s="484"/>
      <c r="AE16" s="484">
        <f>IF(ISNUMBER(Datos!R16),Datos!R16," - ")</f>
        <v>51</v>
      </c>
      <c r="AF16" s="229" t="str">
        <f>IF(ISNUMBER(Datos!BV16),Datos!BV16," - ")</f>
        <v xml:space="preserve"> - </v>
      </c>
      <c r="AG16" s="225"/>
      <c r="AH16" s="298"/>
      <c r="AI16" s="227"/>
      <c r="AJ16" s="225">
        <f>IF(ISNUMBER(Datos!M16),Datos!M16," - ")</f>
        <v>65</v>
      </c>
      <c r="AK16" s="229">
        <f>IF(ISNUMBER(Datos!N16),Datos!N16," - ")</f>
        <v>104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6.3568773234200746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24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2.6666666666666665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580</v>
      </c>
      <c r="G18" s="898">
        <f>SUBTOTAL(9,G15:G17)</f>
        <v>614</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296</v>
      </c>
      <c r="Z18" s="932">
        <f t="shared" si="5"/>
        <v>5</v>
      </c>
      <c r="AA18" s="932">
        <f t="shared" si="5"/>
        <v>594</v>
      </c>
      <c r="AB18" s="932">
        <f t="shared" si="5"/>
        <v>0</v>
      </c>
      <c r="AC18" s="932">
        <f t="shared" si="5"/>
        <v>0</v>
      </c>
      <c r="AD18" s="932">
        <f t="shared" si="5"/>
        <v>0</v>
      </c>
      <c r="AE18" s="932">
        <f t="shared" si="5"/>
        <v>51</v>
      </c>
      <c r="AF18" s="932">
        <f t="shared" si="5"/>
        <v>0</v>
      </c>
      <c r="AG18" s="932">
        <f t="shared" si="5"/>
        <v>0</v>
      </c>
      <c r="AH18" s="932">
        <f t="shared" si="5"/>
        <v>0</v>
      </c>
      <c r="AI18" s="932">
        <f t="shared" si="5"/>
        <v>0</v>
      </c>
      <c r="AJ18" s="932">
        <f t="shared" si="5"/>
        <v>71</v>
      </c>
      <c r="AK18" s="932">
        <f t="shared" si="5"/>
        <v>118</v>
      </c>
      <c r="AL18" s="932">
        <f t="shared" si="5"/>
        <v>0</v>
      </c>
      <c r="AM18" s="932">
        <f t="shared" si="5"/>
        <v>0</v>
      </c>
      <c r="AN18" s="932">
        <f t="shared" si="5"/>
        <v>0</v>
      </c>
      <c r="AO18" s="934">
        <f>IF(ISNUMBER(((NºAsuntos!I18/NºAsuntos!G18)*11)/factor_trimestre),((NºAsuntos!I18/NºAsuntos!G18)*11)/factor_trimestre," - ")</f>
        <v>6.0202702702702702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584</v>
      </c>
      <c r="G19" s="820">
        <f t="shared" si="7"/>
        <v>618</v>
      </c>
      <c r="H19" s="821">
        <f t="shared" si="7"/>
        <v>0</v>
      </c>
      <c r="I19" s="820">
        <f t="shared" si="7"/>
        <v>0</v>
      </c>
      <c r="J19" s="822">
        <f t="shared" si="7"/>
        <v>0</v>
      </c>
      <c r="K19" s="820">
        <f t="shared" si="7"/>
        <v>0</v>
      </c>
      <c r="L19" s="823">
        <f t="shared" si="7"/>
        <v>0</v>
      </c>
      <c r="M19" s="820">
        <f t="shared" si="7"/>
        <v>0</v>
      </c>
      <c r="N19" s="821">
        <f t="shared" si="7"/>
        <v>146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299</v>
      </c>
      <c r="Z19" s="827">
        <f t="shared" si="8"/>
        <v>171</v>
      </c>
      <c r="AA19" s="828">
        <f t="shared" si="8"/>
        <v>597</v>
      </c>
      <c r="AB19" s="828">
        <f t="shared" si="8"/>
        <v>0</v>
      </c>
      <c r="AC19" s="828">
        <f t="shared" si="8"/>
        <v>0</v>
      </c>
      <c r="AD19" s="829">
        <f t="shared" si="8"/>
        <v>0</v>
      </c>
      <c r="AE19" s="829">
        <f t="shared" si="8"/>
        <v>1543</v>
      </c>
      <c r="AF19" s="830">
        <f t="shared" si="8"/>
        <v>0</v>
      </c>
      <c r="AG19" s="831">
        <f t="shared" si="8"/>
        <v>0</v>
      </c>
      <c r="AH19" s="832">
        <f t="shared" si="8"/>
        <v>0</v>
      </c>
      <c r="AI19" s="830">
        <f t="shared" si="8"/>
        <v>0</v>
      </c>
      <c r="AJ19" s="820">
        <f t="shared" si="8"/>
        <v>260</v>
      </c>
      <c r="AK19" s="820">
        <f t="shared" si="8"/>
        <v>371</v>
      </c>
      <c r="AL19" s="820">
        <f t="shared" si="8"/>
        <v>0</v>
      </c>
      <c r="AM19" s="833">
        <f t="shared" si="8"/>
        <v>0</v>
      </c>
      <c r="AN19" s="823">
        <f>IF(ISNUMBER(Datos!K19/Datos!J19),Datos!K19/Datos!J19," - ")</f>
        <v>1.6831501831501832</v>
      </c>
      <c r="AO19" s="823">
        <f>IF(ISNUMBER(FIND("06",Criterios!A8,1)),(IF(ISNUMBER(((Datos!R19/Datos!Q19)*11)/factor_trimestre),((Datos!R19/Datos!Q19)*11)/factor_trimestre," - ")),(IF(ISNUMBER(((Datos!L19/Datos!K19)*11)/factor_trimestre),((Datos!L19/Datos!K19)*11)/factor_trimestre," - ")))</f>
        <v>3.7704026115342768</v>
      </c>
      <c r="AP19" s="834" t="str">
        <f>IF(ISNUMBER(Datos!CI19/Datos!CJ19),Datos!CI19/Datos!CJ19," - ")</f>
        <v xml:space="preserve"> - </v>
      </c>
      <c r="AQ19" s="834">
        <f>IF(OR(ISNUMBER(FIND("01",Criterios!A8,1)),ISNUMBER(FIND("02",Criterios!A8,1)),ISNUMBER(FIND("03",Criterios!A8,1)),ISNUMBER(FIND("04",Criterios!A8,1))),(J19-Y19+K19)/(F19-K19),(I19-Y19+K19)/(F19-K19))</f>
        <v>-0.51198630136986301</v>
      </c>
      <c r="AR19" s="834">
        <f>IF(ISNUMBER((Datos!P19-Datos!Q19+O19)/(Datos!R19-Datos!P19+Datos!Q19-O19)),(Datos!P19-Datos!Q19+O19)/(Datos!R19-Datos!P19+Datos!Q19-O19)," - ")</f>
        <v>-1.5943877551020409E-2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332.55375505322445</v>
      </c>
      <c r="G21" s="552">
        <f>IF(ISNUMBER(STDEV(G8:G18)),STDEV(G8:G18),"-")</f>
        <v>319.78305145832854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83.581497154972439</v>
      </c>
      <c r="AK21" s="252"/>
      <c r="AL21" s="252">
        <f>IF(ISNUMBER(STDEV(AL8:AL18)),STDEV(AL8:AL18),"-")</f>
        <v>0</v>
      </c>
      <c r="AM21" s="254">
        <f>IF(ISNUMBER(STDEV(AM8:AM18)),STDEV(AM8:AM18),"-")</f>
        <v>0</v>
      </c>
      <c r="AN21" s="539">
        <f>IF(ISNUMBER(STDEV(AN8:AN18)),STDEV(AN8:AN18),"-")</f>
        <v>0</v>
      </c>
      <c r="AO21" s="540">
        <f>IF(ISNUMBER(STDEV(AO8:AO18)),STDEV(AO8:AO18),"-")</f>
        <v>1.7576800350833384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NU2/ORlvAQXhOC5vmXlMsgHMMrh0fw4lovBgUkZLV2rgeC37DwoinocFcS5spAuSHg73uRr/jndCZAQqherJig==" saltValue="m0BpXQ9bT92MdLcNwfP6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GYqqBX7K7qK+vxyEehQfDTDjcPLVyke74HPGsGd13Z0VvHrtXIW2AFq3AdsZH3bs+yGPv62RJAGsixQkyGViw==" saltValue="k4ewgmlfZPj6Z7ytZsTQ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AcGOwoONGs2KIr6AKObdnnn42Z7HzAr0gOwGwsYmtg4d7+fddw+VDM9xPPXqM09tpeUk2c+MKsdmwDcwYdbHw==" saltValue="ZSCGhmOJmy5nqTfmla67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LA RIOJA</v>
      </c>
    </row>
    <row r="2" spans="1:78" ht="16.5" customHeight="1">
      <c r="C2" s="488" t="str">
        <f>Criterios!A10 &amp;"  "&amp;Criterios!B10 &amp; "  " &amp; IF(NOT(ISBLANK(Criterios!A11)),Criterios!A11 &amp;"  "&amp;Criterios!B11,"")</f>
        <v>Provincias  LA RIOJA  Resumenes por Partidos Judiciales  HARO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0.2930232558139535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0.20719873123140695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jcqHkRc1cXihaeuujZ5eRgaOsBA/Q9iekYpC9cDp26YGm5gei6bU4vyn32mhvTtS94wI0IMsStwcuiqC85gNgw==" saltValue="F//njPwQCdVxbW8TsD2t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HDphJ3eay4K7nglO7zQ8mTsepIrU6Q+rWawr//LOFMi61QdUkU7B3f+bulqLj9xuW5d1P2s3+IhjLdv1O4ROA==" saltValue="7l5vVubg3cKfGKswRDBI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LA RIOJA</v>
      </c>
      <c r="C2" s="375"/>
      <c r="D2" s="375"/>
      <c r="E2" s="375"/>
      <c r="F2" s="375"/>
    </row>
    <row r="3" spans="1:69" ht="19.5">
      <c r="A3" s="390" t="s">
        <v>115</v>
      </c>
      <c r="B3" s="391" t="str">
        <f>Criterios!A10 &amp;"  "&amp;Criterios!B10</f>
        <v>Provincias  LA RIOJA</v>
      </c>
      <c r="D3" s="375"/>
      <c r="E3" s="375"/>
      <c r="F3" s="375"/>
      <c r="BQ3" s="471"/>
    </row>
    <row r="4" spans="1:69" ht="13.5" thickBot="1">
      <c r="A4" s="375"/>
      <c r="B4" s="391" t="str">
        <f>Criterios!A11 &amp;"  "&amp;Criterios!B11</f>
        <v>Resumenes por Partidos Judiciales  HARO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2</v>
      </c>
      <c r="F10" s="404">
        <f>IF(ISNUMBER(E10/B10),E10/B10," - ")</f>
        <v>2</v>
      </c>
      <c r="G10" s="403">
        <f>IF(ISNUMBER(Datos!K10),Datos!K10," - ")</f>
        <v>3</v>
      </c>
      <c r="H10" s="404">
        <f>IF(ISNUMBER(G10/B10),G10/B10," - ")</f>
        <v>3</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939</v>
      </c>
      <c r="D12" s="404">
        <f>IF(ISNUMBER(C12/Datos!BH12),C12/Datos!BH12," - ")</f>
        <v>469.5</v>
      </c>
      <c r="E12" s="403">
        <f>IF(ISNUMBER(IF(J_V="SI",Datos!J12,Datos!J12+Datos!Z12)),IF(J_V="SI",Datos!J12,Datos!J12+Datos!Z12)," - ")</f>
        <v>294</v>
      </c>
      <c r="F12" s="404">
        <f>IF(ISNUMBER(E12/B12),E12/B12," - ")</f>
        <v>147</v>
      </c>
      <c r="G12" s="403">
        <f>IF(ISNUMBER(IF(J_V="SI",Datos!K12,Datos!K12+Datos!AA12)),IF(J_V="SI",Datos!K12,Datos!K12+Datos!AA12)," - ")</f>
        <v>642</v>
      </c>
      <c r="H12" s="404">
        <f>IF(ISNUMBER(G12/B12),G12/B12," - ")</f>
        <v>321</v>
      </c>
      <c r="I12" s="403">
        <f>IF(ISNUMBER(IF(J_V="SI",Datos!L12,Datos!L12+Datos!AB12)),IF(J_V="SI",Datos!L12,Datos!L12+Datos!AB12)," - ")</f>
        <v>591</v>
      </c>
      <c r="J12" s="404">
        <f>IF(ISNUMBER(I12/B12),I12/B12," - ")</f>
        <v>295.5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943</v>
      </c>
      <c r="D13" s="850" t="str">
        <f>IF(ISNUMBER(C13/Datos!BI13),C13/Datos!BI13," - ")</f>
        <v xml:space="preserve"> - </v>
      </c>
      <c r="E13" s="849">
        <f>SUBTOTAL(9,E8:E12)</f>
        <v>296</v>
      </c>
      <c r="F13" s="850">
        <f>IF(ISNUMBER(E13/B13),E13/B13," - ")</f>
        <v>148</v>
      </c>
      <c r="G13" s="849">
        <f>SUBTOTAL(9,G8:G12)</f>
        <v>645</v>
      </c>
      <c r="H13" s="850">
        <f>IF(ISNUMBER(G13/B13),G13/B13," - ")</f>
        <v>322.5</v>
      </c>
      <c r="I13" s="849">
        <f>SUBTOTAL(9,I8:I12)</f>
        <v>594</v>
      </c>
      <c r="J13" s="850">
        <f>IF(ISNUMBER(I13/B13),I13/B13," - ")</f>
        <v>297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580</v>
      </c>
      <c r="D16" s="404">
        <f>IF(ISNUMBER(C16/Datos!BH16),C16/Datos!BH16," - ")</f>
        <v>290</v>
      </c>
      <c r="E16" s="403">
        <f>IF(ISNUMBER(IF(D_I="SI",Datos!J16,Datos!J16+Datos!AD16)),IF(D_I="SI",Datos!J16,Datos!J16+Datos!AD16)," - ")</f>
        <v>259</v>
      </c>
      <c r="F16" s="404">
        <f>IF(ISNUMBER(E16/B16),E16/B16," - ")</f>
        <v>129.5</v>
      </c>
      <c r="G16" s="403">
        <f>IF(ISNUMBER(IF(D_I="SI",Datos!K16,Datos!K16+Datos!AE16)),IF(D_I="SI",Datos!K16,Datos!K16+Datos!AE16)," - ")</f>
        <v>269</v>
      </c>
      <c r="H16" s="404">
        <f>IF(ISNUMBER(G16/B16),G16/B16," - ")</f>
        <v>134.5</v>
      </c>
      <c r="I16" s="403">
        <f>IF(ISNUMBER(IF(D_I="SI",Datos!L16,Datos!L16+Datos!AF16)),IF(D_I="SI",Datos!L16,Datos!L16+Datos!AF16)," - ")</f>
        <v>570</v>
      </c>
      <c r="J16" s="404">
        <f>IF(ISNUMBER(I16/B16),I16/B16," - ")</f>
        <v>285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34</v>
      </c>
      <c r="D17" s="404">
        <f>IF(ISNUMBER(C17/Datos!BH17),C17/Datos!BH17," - ")</f>
        <v>34</v>
      </c>
      <c r="E17" s="403">
        <f>IF(ISNUMBER(IF(D_I="SI",Datos!J17,Datos!J17+Datos!AD17)),IF(D_I="SI",Datos!J17,Datos!J17+Datos!AD17)," - ")</f>
        <v>17</v>
      </c>
      <c r="F17" s="404">
        <f>IF(ISNUMBER(E17/B17),E17/B17," - ")</f>
        <v>17</v>
      </c>
      <c r="G17" s="403">
        <f>IF(ISNUMBER(IF(D_I="SI",Datos!K17,Datos!K17+Datos!AE17)),IF(D_I="SI",Datos!K17,Datos!K17+Datos!AE17)," - ")</f>
        <v>27</v>
      </c>
      <c r="H17" s="404">
        <f>IF(ISNUMBER(G17/B17),G17/B17," - ")</f>
        <v>27</v>
      </c>
      <c r="I17" s="403">
        <f>IF(ISNUMBER(IF(D_I="SI",Datos!L17,Datos!L17+Datos!AF17)),IF(D_I="SI",Datos!L17,Datos!L17+Datos!AF17)," - ")</f>
        <v>24</v>
      </c>
      <c r="J17" s="404">
        <f>IF(ISNUMBER(I17/B17),I17/B17," - ")</f>
        <v>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614</v>
      </c>
      <c r="D18" s="850" t="str">
        <f>IF(ISNUMBER(C18/Datos!BI18),C18/Datos!BI18," - ")</f>
        <v xml:space="preserve"> - </v>
      </c>
      <c r="E18" s="849">
        <f>SUBTOTAL(9,E14:E17)</f>
        <v>276</v>
      </c>
      <c r="F18" s="850">
        <f>IF(ISNUMBER(E18/B18),E18/B18," - ")</f>
        <v>138</v>
      </c>
      <c r="G18" s="849">
        <f>SUBTOTAL(9,G14:G17)</f>
        <v>296</v>
      </c>
      <c r="H18" s="850">
        <f>IF(ISNUMBER(G18/B18),G18/B18," - ")</f>
        <v>148</v>
      </c>
      <c r="I18" s="849">
        <f>SUBTOTAL(9,I14:I17)</f>
        <v>594</v>
      </c>
      <c r="J18" s="850">
        <f>IF(ISNUMBER(I18/B18),I18/B18," - ")</f>
        <v>297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1557</v>
      </c>
      <c r="D19" s="795" t="str">
        <f>IF(ISNUMBER(C19/Datos!BI19),C19/Datos!BI19," - ")</f>
        <v xml:space="preserve"> - </v>
      </c>
      <c r="E19" s="794">
        <f>SUBTOTAL(9,E9:E18)</f>
        <v>572</v>
      </c>
      <c r="F19" s="795">
        <f>IF(ISNUMBER(E19/B19),E19/B19," - ")</f>
        <v>286</v>
      </c>
      <c r="G19" s="794">
        <f>SUBTOTAL(9,G9:G18)</f>
        <v>941</v>
      </c>
      <c r="H19" s="795">
        <f>IF(ISNUMBER(G19/B19),G19/B19," - ")</f>
        <v>470.5</v>
      </c>
      <c r="I19" s="794">
        <f>SUBTOTAL(9,I9:I18)</f>
        <v>1188</v>
      </c>
      <c r="J19" s="795">
        <f>IF(ISNUMBER(I19/B19),I19/B19," - ")</f>
        <v>594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2kmUfYe0aVpSimZXEC2DxG70o36lmqkfBymkGun2E6MfooCWQPMftB9uKvR/MfGsQDZ5su7n6OoNP66jvRSNPA==" saltValue="uTL/8zzBKR5R8qUXBkAI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LA RIOJA</v>
      </c>
      <c r="W1"/>
      <c r="X1"/>
    </row>
    <row r="2" spans="1:78" ht="16.5" customHeight="1">
      <c r="C2" s="488" t="str">
        <f>Criterios!A10 &amp;"  "&amp;Criterios!B10 &amp; "  " &amp; IF(NOT(ISBLANK(Criterios!A11)),Criterios!A11 &amp;"  "&amp;Criterios!B11,"")</f>
        <v>Provincias  LA RIOJA  Resumenes por Partidos Judiciales  HARO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1488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187</v>
      </c>
      <c r="AM12" s="690">
        <f>IF(ISNUMBER(Datos!N12+DatosP!N16),Datos!N12+DatosP!N16," - ")</f>
        <v>253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2.7616822429906547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-1.9762845849802372E-2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135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165</v>
      </c>
      <c r="AE13" s="939">
        <f t="shared" si="1"/>
        <v>0</v>
      </c>
      <c r="AF13" s="939">
        <f t="shared" si="1"/>
        <v>3</v>
      </c>
      <c r="AG13" s="939">
        <f t="shared" si="1"/>
        <v>0</v>
      </c>
      <c r="AH13" s="939">
        <f t="shared" si="1"/>
        <v>1488</v>
      </c>
      <c r="AI13" s="939">
        <f t="shared" si="1"/>
        <v>0</v>
      </c>
      <c r="AJ13" s="939">
        <f t="shared" si="1"/>
        <v>0</v>
      </c>
      <c r="AK13" s="939">
        <f t="shared" si="1"/>
        <v>0</v>
      </c>
      <c r="AL13" s="939">
        <f t="shared" si="1"/>
        <v>189</v>
      </c>
      <c r="AM13" s="939">
        <f t="shared" si="1"/>
        <v>253</v>
      </c>
      <c r="AN13" s="939">
        <f t="shared" si="1"/>
        <v>0</v>
      </c>
      <c r="AO13" s="939">
        <f t="shared" si="1"/>
        <v>0</v>
      </c>
      <c r="AP13" s="944">
        <f>IF(ISNUMBER(((Datos!L13/Datos!K13)*11)/factor_trimestre),((Datos!L13/Datos!K13)*11)/factor_trimestre," - ")</f>
        <v>2.7014446227929372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-0.75</v>
      </c>
      <c r="AU13" s="939" t="str">
        <f>IF(ISNUMBER((DatosP!#REF!-DatosP!#REF!+DatosP!#REF!)/(DatosP!#REF!+DatosP!#REF!-DatosP!#REF!-DatosP!#REF!)),(DatosP!#REF!-DatosP!#REF!+DatosP!#REF!)/(DatosP!#REF!+DatosP!#REF!-DatosP!#REF!-DatosP!#REF!)," - ")</f>
        <v xml:space="preserve"> - </v>
      </c>
      <c r="AV13" s="945">
        <f>SUBTOTAL(9,AV9:AV12)</f>
        <v>-1.9762845849802372E-2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6.0202702702702702</v>
      </c>
      <c r="AQ18" s="944">
        <f>IF(ISNUMBER(((Datos!M18/Datos!L18)*11)/factor_trimestre),((Datos!M18/Datos!L18)*11)/factor_trimestre," - ")</f>
        <v>0.35858585858585862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0.13333333333333333</v>
      </c>
      <c r="AW18" s="946">
        <f>IF(ISNUMBER((Datos!Q18-Datos!R18)/(Datos!S18-Datos!Q18+Datos!R18)),(Datos!Q18-Datos!R18)/(Datos!S18-Datos!Q18+Datos!R18)," - ")</f>
        <v>-8.0139372822299645E-2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135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165</v>
      </c>
      <c r="AE19" s="957">
        <f t="shared" si="5"/>
        <v>0</v>
      </c>
      <c r="AF19" s="958">
        <f t="shared" si="5"/>
        <v>3</v>
      </c>
      <c r="AG19" s="958">
        <f t="shared" si="5"/>
        <v>0</v>
      </c>
      <c r="AH19" s="958">
        <f t="shared" si="5"/>
        <v>1488</v>
      </c>
      <c r="AI19" s="958">
        <f t="shared" si="5"/>
        <v>0</v>
      </c>
      <c r="AJ19" s="959">
        <f t="shared" si="5"/>
        <v>0</v>
      </c>
      <c r="AK19" s="959">
        <f t="shared" si="5"/>
        <v>0</v>
      </c>
      <c r="AL19" s="951">
        <f t="shared" si="5"/>
        <v>189</v>
      </c>
      <c r="AM19" s="951">
        <f t="shared" si="5"/>
        <v>253</v>
      </c>
      <c r="AN19" s="951">
        <f t="shared" si="5"/>
        <v>0</v>
      </c>
      <c r="AO19" s="951">
        <f t="shared" si="5"/>
        <v>0</v>
      </c>
      <c r="AP19" s="951">
        <f>IF(ISNUMBER(((Datos!L19/Datos!K19)*11)/factor_trimestre),((Datos!L19/Datos!K19)*11)/factor_trimestre," - ")</f>
        <v>3.7704026115342768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-1.5943877551020409E-2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107.97067503107807</v>
      </c>
      <c r="AM21" s="736"/>
      <c r="AN21" s="736">
        <f>IF(ISNUMBER(STDEV(AN8:AN18)),STDEV(AN8:AN18),"-")</f>
        <v>0</v>
      </c>
      <c r="AO21" s="742">
        <f>IF(ISNUMBER(STDEV(AO8:AO18)),STDEV(AO8:AO18),"-")</f>
        <v>0</v>
      </c>
      <c r="AP21" s="779">
        <f>IF(ISNUMBER(STDEV(AP8:AP18)),STDEV(AP8:AP18),"-")</f>
        <v>1.604799866878893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6r+4KtcWIswoK/i7TKRKGqGj4TRkcSI/cbOzwAOLoFvb/MpDjRTyACgs5TeaKc6xEh9Y4BJdY/RHUB9cItYpRw==" saltValue="3BfehU69/KPTKByOofbx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LA RIOJA</v>
      </c>
      <c r="C2" s="375"/>
      <c r="E2" s="375"/>
      <c r="F2" s="375"/>
      <c r="G2" s="375"/>
      <c r="H2" s="375"/>
    </row>
    <row r="3" spans="1:15" ht="39">
      <c r="A3" s="415" t="s">
        <v>218</v>
      </c>
      <c r="B3" s="391" t="str">
        <f>Criterios!A10 &amp;"  "&amp;Criterios!B10</f>
        <v>Provincias  LA RIOJA</v>
      </c>
      <c r="C3" s="415"/>
      <c r="F3" s="375"/>
      <c r="G3" s="375"/>
      <c r="H3" s="375"/>
    </row>
    <row r="4" spans="1:15" ht="13.5" thickBot="1">
      <c r="A4" s="375"/>
      <c r="B4" s="391" t="str">
        <f>Criterios!A11 &amp;"  "&amp;Criterios!B11</f>
        <v>Resumenes por Partidos Judiciales  HARO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5woQyaKzXv92Cke9ybgD03cOBC46sbncGLJOOLSsoV3ByAwGtfmBXvB0NLbjBTWB9Aj0Bg0mgxP+MsRKBleF4Q==" saltValue="g/rmQAUT/WFVP1/WjRVA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LA RIOJA</v>
      </c>
      <c r="C2" s="391"/>
    </row>
    <row r="3" spans="1:78" ht="19.5">
      <c r="A3" s="425" t="s">
        <v>11</v>
      </c>
      <c r="B3" s="391" t="str">
        <f>Criterios!A10 &amp;"  "&amp;Criterios!B10</f>
        <v>Provincias  LA RIOJA</v>
      </c>
      <c r="C3" s="391"/>
      <c r="D3" s="425"/>
      <c r="BZ3" s="471"/>
    </row>
    <row r="4" spans="1:78" ht="13.5" thickBot="1">
      <c r="B4" s="391" t="str">
        <f>Criterios!A11 &amp;"  "&amp;Criterios!B11</f>
        <v>Resumenes por Partidos Judiciales  HARO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187</v>
      </c>
      <c r="E12" s="404">
        <f t="shared" si="0"/>
        <v>93.5</v>
      </c>
      <c r="F12" s="403">
        <f>IF(ISNUMBER(Datos!N12),Datos!N12," - ")</f>
        <v>253</v>
      </c>
      <c r="G12" s="404">
        <f t="shared" si="1"/>
        <v>126.5</v>
      </c>
      <c r="H12" s="403">
        <f>IF(ISNUMBER(Datos!O12),Datos!O12," - ")</f>
        <v>138</v>
      </c>
      <c r="I12" s="404">
        <f t="shared" si="2"/>
        <v>69</v>
      </c>
      <c r="BZ12" s="1186">
        <f>Datos!EZ12</f>
        <v>0</v>
      </c>
    </row>
    <row r="13" spans="1:78" ht="14.25" thickTop="1" thickBot="1">
      <c r="A13" s="848" t="str">
        <f>Datos!A13</f>
        <v>TOTAL</v>
      </c>
      <c r="B13" s="849">
        <f>Datos!AP13</f>
        <v>2</v>
      </c>
      <c r="C13" s="851">
        <f>Datos!AR13</f>
        <v>2</v>
      </c>
      <c r="D13" s="849">
        <f>SUBTOTAL(9,D9:D12)</f>
        <v>189</v>
      </c>
      <c r="E13" s="850">
        <f t="shared" si="0"/>
        <v>94.5</v>
      </c>
      <c r="F13" s="849">
        <f>SUBTOTAL(9,F9:F12)</f>
        <v>253</v>
      </c>
      <c r="G13" s="850">
        <f t="shared" si="1"/>
        <v>126.5</v>
      </c>
      <c r="H13" s="849">
        <f>SUBTOTAL(9,H9:H12)</f>
        <v>138</v>
      </c>
      <c r="I13" s="850">
        <f>IF(ISNUMBER(H13/B13),H13/B13," - ")</f>
        <v>69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65</v>
      </c>
      <c r="E16" s="404">
        <f t="shared" si="3"/>
        <v>32.5</v>
      </c>
      <c r="F16" s="403">
        <f>IF(ISNUMBER(Datos!N16),Datos!N16," - ")</f>
        <v>104</v>
      </c>
      <c r="G16" s="404">
        <f t="shared" si="4"/>
        <v>52</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14</v>
      </c>
      <c r="G17" s="404">
        <f>IF(ISNUMBER(F17/B17),F17/B17," - ")</f>
        <v>14</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71</v>
      </c>
      <c r="E18" s="850">
        <f t="shared" si="3"/>
        <v>35.5</v>
      </c>
      <c r="F18" s="849">
        <f>SUBTOTAL(9,F15:F17)</f>
        <v>118</v>
      </c>
      <c r="G18" s="850">
        <f t="shared" si="4"/>
        <v>59</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260</v>
      </c>
      <c r="E19" s="795">
        <f>IF(ISNUMBER(D19/B19),D19/B19," - ")</f>
        <v>130</v>
      </c>
      <c r="F19" s="794">
        <f>SUBTOTAL(9,F8:F18)</f>
        <v>371</v>
      </c>
      <c r="G19" s="795">
        <f>IF(ISNUMBER(F19/B19),F19/B19," - ")</f>
        <v>185.5</v>
      </c>
      <c r="H19" s="794">
        <f>SUBTOTAL(9,H8:H18)</f>
        <v>138</v>
      </c>
      <c r="I19" s="795">
        <f>IF(ISNUMBER(H19/B19),H19/B19," - ")</f>
        <v>69</v>
      </c>
    </row>
    <row r="22" spans="1:78">
      <c r="A22" s="391" t="str">
        <f>Criterios!A4</f>
        <v>Fecha Informe: 25 sep. 2025</v>
      </c>
    </row>
    <row r="27" spans="1:78">
      <c r="A27" s="414"/>
    </row>
  </sheetData>
  <sheetProtection algorithmName="SHA-512" hashValue="xBX0sjPC0YhSMpenSYE9uyoZ3I3tlC5krFnM+/bx6SsH81SWLz8kep3CeQjHHteGCRULMHUcM+RLKbdYmrPi+Q==" saltValue="q679hEZ+gqbyMtG8D9VZ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LA RIOJA</v>
      </c>
    </row>
    <row r="3" spans="1:4" ht="19.5">
      <c r="A3" s="429" t="s">
        <v>32</v>
      </c>
      <c r="B3" s="391" t="str">
        <f>Criterios!A10 &amp;"  "&amp;Criterios!B10</f>
        <v>Provincias  LA RIOJA</v>
      </c>
    </row>
    <row r="4" spans="1:4" ht="13.5" thickBot="1">
      <c r="B4" s="391" t="str">
        <f>Criterios!A11 &amp;"  "&amp;Criterios!B11</f>
        <v>Resumenes por Partidos Judiciales  HARO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135</v>
      </c>
      <c r="C12" s="434">
        <f>IF(ISNUMBER(Datos!Q12),Datos!Q12," - ")</f>
        <v>165</v>
      </c>
      <c r="D12" s="408">
        <f>IF(ISNUMBER(Datos!R12),Datos!R12," - ")</f>
        <v>1488</v>
      </c>
    </row>
    <row r="13" spans="1:4" ht="14.25" thickTop="1" thickBot="1">
      <c r="A13" s="848" t="str">
        <f>Datos!A13</f>
        <v>TOTAL</v>
      </c>
      <c r="B13" s="849">
        <f>SUBTOTAL(9,B9:B12)</f>
        <v>135</v>
      </c>
      <c r="C13" s="853">
        <f>SUBTOTAL(9,C9:C12)</f>
        <v>166</v>
      </c>
      <c r="D13" s="851">
        <f>SUBTOTAL(9,D9:D12)</f>
        <v>1492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5</v>
      </c>
      <c r="D16" s="408">
        <f>IF(ISNUMBER(Datos!R16),Datos!R16," - ")</f>
        <v>51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5</v>
      </c>
      <c r="D18" s="851">
        <f>SUBTOTAL(9,D15:D17)</f>
        <v>51</v>
      </c>
    </row>
    <row r="19" spans="1:4" ht="16.5" customHeight="1" thickTop="1" thickBot="1">
      <c r="A19" s="793" t="str">
        <f>Datos!A19</f>
        <v>TOTAL JURISDICCIONES</v>
      </c>
      <c r="B19" s="798">
        <f>SUBTOTAL(9,B8:B18)</f>
        <v>146</v>
      </c>
      <c r="C19" s="799">
        <f>SUBTOTAL(9,C8:C18)</f>
        <v>171</v>
      </c>
      <c r="D19" s="800">
        <f>SUBTOTAL(9,D8:D18)</f>
        <v>1543</v>
      </c>
    </row>
    <row r="20" spans="1:4" ht="7.5" customHeight="1"/>
    <row r="21" spans="1:4" ht="6" customHeight="1"/>
    <row r="22" spans="1:4">
      <c r="A22" s="391" t="str">
        <f>Criterios!A4</f>
        <v>Fecha Informe: 25 sep. 2025</v>
      </c>
    </row>
    <row r="27" spans="1:4">
      <c r="A27" s="414"/>
    </row>
  </sheetData>
  <sheetProtection algorithmName="SHA-512" hashValue="4hGsYHj+14yhD/e4Fp5Dyj8uxrl3TpeM8WvsF+pXB4ZPxNA/DakWPWV4Gg7MUWTXHmIS8xSrAnb/2vkdce9reQ==" saltValue="dptp5QlTMDbc3yZC2MaW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LA RIOJA</v>
      </c>
    </row>
    <row r="3" spans="1:11" ht="18.75" customHeight="1">
      <c r="A3" s="429" t="s">
        <v>118</v>
      </c>
      <c r="B3" s="391" t="str">
        <f>Criterios!A10 &amp;"  "&amp;Criterios!B10</f>
        <v>Provincias  LA RIOJA</v>
      </c>
    </row>
    <row r="4" spans="1:11" ht="10.5" customHeight="1" thickBot="1">
      <c r="B4" s="391" t="str">
        <f>Criterios!A11 &amp;"  "&amp;Criterios!B11</f>
        <v>Resumenes por Partidos Judiciales  HARO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1</v>
      </c>
      <c r="D10" s="456">
        <f>IF(ISNUMBER((Datos!K10-Datos!U10)/Datos!U10),(Datos!K10-Datos!U10)/Datos!U10," - ")</f>
        <v>2</v>
      </c>
      <c r="E10" s="456" t="str">
        <f>IF(ISNUMBER((Datos!L10-Datos!V10)/Datos!V10),(Datos!L10-Datos!V10)/Datos!V10," - ")</f>
        <v xml:space="preserve"> - </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0.5</v>
      </c>
      <c r="I10" s="456" t="str">
        <f>IF(ISNUMBER(((NºAsuntos!I10/NºAsuntos!G10)-Datos!BE10)/Datos!BE10),((NºAsuntos!I10/NºAsuntos!G10)-Datos!BE10)/Datos!BE10," - ")</f>
        <v xml:space="preserve"> - </v>
      </c>
      <c r="J10" s="461">
        <f>IF(ISNUMBER((('Resol  Asuntos'!D10/NºAsuntos!G10)-Datos!BF10)/Datos!BF10),(('Resol  Asuntos'!D10/NºAsuntos!G10)-Datos!BF10)/Datos!BF10," - ")</f>
        <v>-0.33333333333333337</v>
      </c>
      <c r="K10" s="462">
        <f>IF(ISNUMBER((((NºAsuntos!C10+NºAsuntos!E10)/NºAsuntos!G10)-Datos!BG10)/Datos!BG10),(((NºAsuntos!C10+NºAsuntos!E10)/NºAsuntos!G10)-Datos!BG10)/Datos!BG10," - ")</f>
        <v>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-0.21224832214765102</v>
      </c>
      <c r="C12" s="456">
        <f>IF(ISNUMBER(
   IF(J_V="SI",(Datos!J12-Datos!T12)/Datos!T12,(Datos!J12+Datos!Z12-(Datos!T12+Datos!AH12))/(Datos!T12+Datos!AH12))
     ),IF(J_V="SI",(Datos!J12-Datos!T12)/Datos!T12,(Datos!J12+Datos!Z12-(Datos!T12+Datos!AH12))/(Datos!T12+Datos!AH12))," - ")</f>
        <v>-0.26865671641791045</v>
      </c>
      <c r="D12" s="456">
        <f>IF(ISNUMBER(
   IF(J_V="SI",(Datos!K12-Datos!U12)/Datos!U12,(Datos!K12+Datos!AA12-(Datos!U12+Datos!AI12))/(Datos!U12+Datos!AI12))
     ),IF(J_V="SI",(Datos!K12-Datos!U12)/Datos!U12,(Datos!K12+Datos!AA12-(Datos!U12+Datos!AI12))/(Datos!U12+Datos!AI12))," - ")</f>
        <v>0.22285714285714286</v>
      </c>
      <c r="E12" s="456">
        <f>IF(ISNUMBER(
   IF(J_V="SI",(Datos!L12-Datos!V12)/Datos!V12,(Datos!L12+Datos!AB12-(Datos!V12+Datos!AJ12))/(Datos!V12+Datos!AJ12))
     ),IF(J_V="SI",(Datos!L12-Datos!V12)/Datos!V12,(Datos!L12+Datos!AB12-(Datos!V12+Datos!AJ12))/(Datos!V12+Datos!AJ12))," - ")</f>
        <v>-0.44714686623012162</v>
      </c>
      <c r="F12" s="456">
        <f>IF(ISNUMBER((Datos!M12-Datos!W12)/Datos!W12),(Datos!M12-Datos!W12)/Datos!W12," - ")</f>
        <v>0.48412698412698413</v>
      </c>
      <c r="G12" s="457">
        <f>IF(ISNUMBER((Datos!N12-Datos!X12)/Datos!X12),(Datos!N12-Datos!X12)/Datos!X12," - ")</f>
        <v>0.10964912280701754</v>
      </c>
      <c r="H12" s="455">
        <f>IF(ISNUMBER(((NºAsuntos!G12/NºAsuntos!E12)-Datos!BD12)/Datos!BD12),((NºAsuntos!G12/NºAsuntos!E12)-Datos!BD12)/Datos!BD12," - ")</f>
        <v>0.67206997084548092</v>
      </c>
      <c r="I12" s="456">
        <f>IF(ISNUMBER(((NºAsuntos!I12/NºAsuntos!G12)-Datos!BE12)/Datos!BE12),((NºAsuntos!I12/NºAsuntos!G12)-Datos!BE12)/Datos!BE12," - ")</f>
        <v>-0.54790047472089376</v>
      </c>
      <c r="J12" s="461">
        <f>IF(ISNUMBER((('Resol  Asuntos'!D12/NºAsuntos!G12)-Datos!BF12)/Datos!BF12),(('Resol  Asuntos'!D12/NºAsuntos!G12)-Datos!BF12)/Datos!BF12," - ")</f>
        <v>-0.32929578619445815</v>
      </c>
      <c r="K12" s="462">
        <f>IF(ISNUMBER((((NºAsuntos!C12+NºAsuntos!E12)/NºAsuntos!G12)-Datos!BG12)/Datos!BG12),(((NºAsuntos!C12+NºAsuntos!E12)/NºAsuntos!G12)-Datos!BG12)/Datos!BG12," - ")</f>
        <v>-0.36744391937053678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-0.20889261744966442</v>
      </c>
      <c r="C13" s="855">
        <f>IF(ISNUMBER(
   IF(J_V="SI",(Datos!J13-Datos!T13)/Datos!T13,(Datos!J13+Datos!Z13-(Datos!T13+Datos!AH13))/(Datos!T13+Datos!AH13))
     ),IF(J_V="SI",(Datos!J13-Datos!T13)/Datos!T13,(Datos!J13+Datos!Z13-(Datos!T13+Datos!AH13))/(Datos!T13+Datos!AH13))," - ")</f>
        <v>-0.26550868486352358</v>
      </c>
      <c r="D13" s="855">
        <f>IF(ISNUMBER(
   IF(J_V="SI",(Datos!K13-Datos!U13)/Datos!U13,(Datos!K13+Datos!AA13-(Datos!U13+Datos!AI13))/(Datos!U13+Datos!AI13))
     ),IF(J_V="SI",(Datos!K13-Datos!U13)/Datos!U13,(Datos!K13+Datos!AA13-(Datos!U13+Datos!AI13))/(Datos!U13+Datos!AI13))," - ")</f>
        <v>0.22623574144486691</v>
      </c>
      <c r="E13" s="855">
        <f>IF(ISNUMBER(
   IF(J_V="SI",(Datos!L13-Datos!V13)/Datos!V13,(Datos!L13+Datos!AB13-(Datos!V13+Datos!AJ13))/(Datos!V13+Datos!AJ13))
     ),IF(J_V="SI",(Datos!L13-Datos!V13)/Datos!V13,(Datos!L13+Datos!AB13-(Datos!V13+Datos!AJ13))/(Datos!V13+Datos!AJ13))," - ")</f>
        <v>-0.44434050514499535</v>
      </c>
      <c r="F13" s="856">
        <f>IF(ISNUMBER((Datos!M13-Datos!W13)/Datos!W13),(Datos!M13-Datos!W13)/Datos!W13," - ")</f>
        <v>0.48818897637795278</v>
      </c>
      <c r="G13" s="857">
        <f>IF(ISNUMBER((Datos!N13-Datos!X13)/Datos!X13),(Datos!N13-Datos!X13)/Datos!X13," - ")</f>
        <v>0.10964912280701754</v>
      </c>
      <c r="H13" s="857">
        <f>IF(ISNUMBER(((NºAsuntos!G13/NºAsuntos!E13)-Datos!BD13)/Datos!BD13),((NºAsuntos!G13/NºAsuntos!E13)-Datos!BD13)/Datos!BD13," - ")</f>
        <v>0.66950339122392333</v>
      </c>
      <c r="I13" s="857">
        <f>IF(ISNUMBER(((NºAsuntos!I13/NºAsuntos!G13)-Datos!BE13)/Datos!BE13),((NºAsuntos!I13/NºAsuntos!G13)-Datos!BE13)/Datos!BE13," - ")</f>
        <v>-0.54685752822677136</v>
      </c>
      <c r="J13" s="857">
        <f>IF(ISNUMBER((('Resol  Asuntos'!D13/NºAsuntos!G13)-Datos!BF13)/Datos!BF13),(('Resol  Asuntos'!D13/NºAsuntos!G13)-Datos!BF13)/Datos!BF13," - ")</f>
        <v>-0.32694221590332079</v>
      </c>
      <c r="K13" s="857">
        <f>IF(ISNUMBER((((NºAsuntos!C13+NºAsuntos!E13)/NºAsuntos!G13)-Datos!BG13)/Datos!BG13),(((NºAsuntos!C13+NºAsuntos!E13)/NºAsuntos!G13)-Datos!BG13)/Datos!BG13," - ")</f>
        <v>-0.36651454399650074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0.21593291404612158</v>
      </c>
      <c r="C16" s="456">
        <f>IF(ISNUMBER(
   IF(D_I="SI",(Datos!J16-Datos!T16)/Datos!T16,(Datos!J16+Datos!AD16-(Datos!T16+Datos!AL16))/(Datos!T16+Datos!AL16))
     ),IF(D_I="SI",(Datos!J16-Datos!T16)/Datos!T16,(Datos!J16+Datos!AD16-(Datos!T16+Datos!AL16))/(Datos!T16+Datos!AL16))," - ")</f>
        <v>2.3715415019762844E-2</v>
      </c>
      <c r="D16" s="456">
        <f>IF(ISNUMBER(
   IF(D_I="SI",(Datos!K16-Datos!U16)/Datos!U16,(Datos!K16+Datos!AE16-(Datos!U16+Datos!AM16))/(Datos!U16+Datos!AM16))
     ),IF(D_I="SI",(Datos!K16-Datos!U16)/Datos!U16,(Datos!K16+Datos!AE16-(Datos!U16+Datos!AM16))/(Datos!U16+Datos!AM16))," - ")</f>
        <v>9.7959183673469383E-2</v>
      </c>
      <c r="E16" s="456">
        <f>IF(ISNUMBER(
   IF(D_I="SI",(Datos!L16-Datos!V16)/Datos!V16,(Datos!L16+Datos!AF16-(Datos!V16+Datos!AN16))/(Datos!V16+Datos!AN16))
     ),IF(D_I="SI",(Datos!L16-Datos!V16)/Datos!V16,(Datos!L16+Datos!AF16-(Datos!V16+Datos!AN16))/(Datos!V16+Datos!AN16))," - ")</f>
        <v>0.16564417177914109</v>
      </c>
      <c r="F16" s="456">
        <f>IF(ISNUMBER((Datos!M16-Datos!W16)/Datos!W16),(Datos!M16-Datos!W16)/Datos!W16," - ")</f>
        <v>0.54761904761904767</v>
      </c>
      <c r="G16" s="457">
        <f>IF(ISNUMBER((Datos!N16-Datos!X16)/Datos!X16),(Datos!N16-Datos!X16)/Datos!X16," - ")</f>
        <v>5.0505050505050504E-2</v>
      </c>
      <c r="H16" s="455">
        <f>IF(ISNUMBER(((NºAsuntos!G16/NºAsuntos!E16)-Datos!BD16)/Datos!BD16),((NºAsuntos!G16/NºAsuntos!E16)-Datos!BD16)/Datos!BD16," - ")</f>
        <v>7.2523835789141872E-2</v>
      </c>
      <c r="I16" s="456">
        <f>IF(ISNUMBER(((NºAsuntos!I16/NºAsuntos!G16)-Datos!BE16)/Datos!BE16),((NºAsuntos!I16/NºAsuntos!G16)-Datos!BE16)/Datos!BE16," - ")</f>
        <v>6.1646178757953786E-2</v>
      </c>
      <c r="J16" s="461">
        <f>IF(ISNUMBER((('Resol  Asuntos'!D16/NºAsuntos!G16)-Datos!BF16)/Datos!BF16),(('Resol  Asuntos'!D16/NºAsuntos!G16)-Datos!BF16)/Datos!BF16," - ")</f>
        <v>0.40954151177199505</v>
      </c>
      <c r="K16" s="462">
        <f>IF(ISNUMBER((((NºAsuntos!C16+NºAsuntos!E16)/NºAsuntos!G16)-Datos!BG16)/Datos!BG16),(((NºAsuntos!C16+NºAsuntos!E16)/NºAsuntos!G16)-Datos!BG16)/Datos!BG16," - ")</f>
        <v>4.6773947140601832E-2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-0.33333333333333331</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-0.27027027027027029</v>
      </c>
      <c r="E17" s="456">
        <f>IF(ISNUMBER(
   IF(D_I="SI",(Datos!L17-Datos!V17)/Datos!V17,(Datos!L17+Datos!AF17-(Datos!V17+Datos!AN17))/(Datos!V17+Datos!AN17))
     ),IF(D_I="SI",(Datos!L17-Datos!V17)/Datos!V17,(Datos!L17+Datos!AF17-(Datos!V17+Datos!AN17))/(Datos!V17+Datos!AN17))," - ")</f>
        <v>-0.5</v>
      </c>
      <c r="F17" s="456">
        <f>IF(ISNUMBER((Datos!M17-Datos!W17)/Datos!W17),(Datos!M17-Datos!W17)/Datos!W17," - ")</f>
        <v>1</v>
      </c>
      <c r="G17" s="457">
        <f>IF(ISNUMBER((Datos!N17-Datos!X17)/Datos!X17),(Datos!N17-Datos!X17)/Datos!X17," - ")</f>
        <v>-0.22222222222222221</v>
      </c>
      <c r="H17" s="455">
        <f>IF(ISNUMBER(((NºAsuntos!G17/NºAsuntos!E17)-Datos!BD17)/Datos!BD17),((NºAsuntos!G17/NºAsuntos!E17)-Datos!BD17)/Datos!BD17," - ")</f>
        <v>0.45945945945945948</v>
      </c>
      <c r="I17" s="456">
        <f>IF(ISNUMBER(((NºAsuntos!I17/NºAsuntos!G17)-Datos!BE17)/Datos!BE17),((NºAsuntos!I17/NºAsuntos!G17)-Datos!BE17)/Datos!BE17," - ")</f>
        <v>-0.31481481481481488</v>
      </c>
      <c r="J17" s="461">
        <f>IF(ISNUMBER((('Resol  Asuntos'!D17/NºAsuntos!G17)-Datos!BF17)/Datos!BF17),(('Resol  Asuntos'!D17/NºAsuntos!G17)-Datos!BF17)/Datos!BF17," - ")</f>
        <v>1.7407407407407405</v>
      </c>
      <c r="K17" s="462">
        <f>IF(ISNUMBER((((NºAsuntos!C17+NºAsuntos!E17)/NºAsuntos!G17)-Datos!BG17)/Datos!BG17),(((NºAsuntos!C17+NºAsuntos!E17)/NºAsuntos!G17)-Datos!BG17)/Datos!BG17," - ")</f>
        <v>-0.17777777777777781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0.16287878787878787</v>
      </c>
      <c r="C18" s="855">
        <f>IF(ISNUMBER(
   IF(Criterios!B14="SI",(Datos!J18-Datos!T18)/Datos!T18,(Datos!J18+Datos!AD18-(Datos!T18+Datos!AL18))/(Datos!T18+Datos!AL18))
     ),IF(Criterios!B14="SI",(Datos!J18-Datos!T18)/Datos!T18,(Datos!J18+Datos!AD18-(Datos!T18+Datos!AL18))/(Datos!T18+Datos!AL18))," - ")</f>
        <v>-3.8327526132404179E-2</v>
      </c>
      <c r="D18" s="855">
        <f>IF(ISNUMBER(
   IF(Criterios!B14="SI",(Datos!K18-Datos!U18)/Datos!U18,(Datos!K18+Datos!AE18-(Datos!U18+Datos!AM18))/(Datos!U18+Datos!AM18))
     ),IF(Criterios!B14="SI",(Datos!K18-Datos!U18)/Datos!U18,(Datos!K18+Datos!AE18-(Datos!U18+Datos!AM18))/(Datos!U18+Datos!AM18))," - ")</f>
        <v>4.9645390070921988E-2</v>
      </c>
      <c r="E18" s="855">
        <f>IF(ISNUMBER(
   IF(Criterios!B14="SI",(Datos!L18-Datos!V18)/Datos!V18,(Datos!L18+Datos!AF18-(Datos!V18+Datos!AN18))/(Datos!V18+Datos!AN18))
     ),IF(Criterios!B14="SI",(Datos!L18-Datos!V18)/Datos!V18,(Datos!L18+Datos!AF18-(Datos!V18+Datos!AN18))/(Datos!V18+Datos!AN18))," - ")</f>
        <v>0.10614525139664804</v>
      </c>
      <c r="F18" s="856">
        <f>IF(ISNUMBER((Datos!M18-Datos!W18)/Datos!W18),(Datos!M18-Datos!W18)/Datos!W18," - ")</f>
        <v>0.57777777777777772</v>
      </c>
      <c r="G18" s="857">
        <f>IF(ISNUMBER((Datos!N18-Datos!X18)/Datos!X18),(Datos!N18-Datos!X18)/Datos!X18," - ")</f>
        <v>8.5470085470085479E-3</v>
      </c>
      <c r="H18" s="857">
        <f>IF(ISNUMBER(((NºAsuntos!G18/NºAsuntos!E18)-Datos!BD18)/Datos!BD18),((NºAsuntos!G18/NºAsuntos!E18)-Datos!BD18)/Datos!BD18," - ")</f>
        <v>9.1479083153458804E-2</v>
      </c>
      <c r="I18" s="857">
        <f>IF(ISNUMBER(((NºAsuntos!I18/NºAsuntos!G18)-Datos!BE18)/Datos!BE18),((NºAsuntos!I18/NºAsuntos!G18)-Datos!BE18)/Datos!BE18," - ")</f>
        <v>5.3827570587347016E-2</v>
      </c>
      <c r="J18" s="857">
        <f>IF(ISNUMBER((('Resol  Asuntos'!D18/NºAsuntos!G18)-Datos!BF18)/Datos!BF18),(('Resol  Asuntos'!D18/NºAsuntos!G18)-Datos!BF18)/Datos!BF18," - ")</f>
        <v>0.50315315315315301</v>
      </c>
      <c r="K18" s="857">
        <f>IF(ISNUMBER((((NºAsuntos!C18+NºAsuntos!E18)/NºAsuntos!G18)-Datos!BG18)/Datos!BG18),(((NºAsuntos!C18+NºAsuntos!E18)/NºAsuntos!G18)-Datos!BG18)/Datos!BG18," - ")</f>
        <v>4.0374730558779652E-2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-9.476744186046511E-2</v>
      </c>
      <c r="C19" s="802">
        <f>IF(ISNUMBER(
   IF(J_V="SI",(Datos!J19-Datos!T19)/Datos!T19,(Datos!J19+Datos!Z19-(Datos!T19+Datos!AH19))/(Datos!T19+Datos!AH19))
     ),IF(J_V="SI",(Datos!J19-Datos!T19)/Datos!T19,(Datos!J19+Datos!Z19-(Datos!T19+Datos!AH19))/(Datos!T19+Datos!AH19))," - ")</f>
        <v>-0.17101449275362318</v>
      </c>
      <c r="D19" s="802">
        <f>IF(ISNUMBER(
   IF(J_V="SI",(Datos!K19-Datos!U19)/Datos!U19,(Datos!K19+Datos!AA19-(Datos!U19+Datos!AI19))/(Datos!U19+Datos!AI19))
     ),IF(J_V="SI",(Datos!K19-Datos!U19)/Datos!U19,(Datos!K19+Datos!AA19-(Datos!U19+Datos!AI19))/(Datos!U19+Datos!AI19))," - ")</f>
        <v>0.16460396039603961</v>
      </c>
      <c r="E19" s="802">
        <f>IF(ISNUMBER(
   IF(J_V="SI",(Datos!L19-Datos!V19)/Datos!V19,(Datos!L19+Datos!AB19-(Datos!V19+Datos!AJ19))/(Datos!V19+Datos!AJ19))
     ),IF(J_V="SI",(Datos!L19-Datos!V19)/Datos!V19,(Datos!L19+Datos!AB19-(Datos!V19+Datos!AJ19))/(Datos!V19+Datos!AJ19))," - ")</f>
        <v>-0.26027397260273971</v>
      </c>
      <c r="F19" s="803">
        <f>IF(ISNUMBER((Datos!M19-Datos!W19)/Datos!W19),(Datos!M19-Datos!W19)/Datos!W19," - ")</f>
        <v>0.51162790697674421</v>
      </c>
      <c r="G19" s="804">
        <f>IF(ISNUMBER((Datos!N19-Datos!X19)/Datos!X19),(Datos!N19-Datos!X19)/Datos!X19," - ")</f>
        <v>7.5362318840579715E-2</v>
      </c>
      <c r="H19" s="805">
        <f>IF(ISNUMBER((Tasas!B19-Datos!BD19)/Datos!BD19),(Tasas!B19-Datos!BD19)/Datos!BD19," - ")</f>
        <v>0.40485442775046737</v>
      </c>
      <c r="I19" s="806">
        <f>IF(ISNUMBER((Tasas!C19-Datos!BE19)/Datos!BE19),(Tasas!C19-Datos!BE19)/Datos!BE19," - ")</f>
        <v>-0.36482611037514745</v>
      </c>
      <c r="J19" s="807">
        <f>IF(ISNUMBER((Tasas!D19-Datos!BF19)/Datos!BF19),(Tasas!D19-Datos!BF19)/Datos!BF19," - ")</f>
        <v>-0.18521219078942275</v>
      </c>
      <c r="K19" s="807">
        <f>IF(ISNUMBER((Tasas!E19-Datos!BG19)/Datos!BG19),(Tasas!E19-Datos!BG19)/Datos!BG19," - ")</f>
        <v>-0.24145673579356303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Ctst4VXdkKvxVh1EEdgJnGvh5G4g0T1a0o4G3tWfKrIbhvfJjizXGCrKMgFYoMd9kRDt6tJaS15hd7DYJrgiQ==" saltValue="gMpABz5ofDEkNqcmyNuN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LA RIOJA</v>
      </c>
    </row>
    <row r="3" spans="1:7" ht="19.5">
      <c r="A3" s="436" t="s">
        <v>12</v>
      </c>
      <c r="B3" s="391" t="str">
        <f>Criterios!A10 &amp;"  "&amp;Criterios!B10</f>
        <v>Provincias  LA RIOJA</v>
      </c>
    </row>
    <row r="4" spans="1:7" ht="11.25" customHeight="1" thickBot="1">
      <c r="B4" s="391" t="str">
        <f>Criterios!A11 &amp;"  "&amp;Criterios!B11</f>
        <v>Resumenes por Partidos Judiciales  HARO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1</v>
      </c>
      <c r="D10" s="444">
        <f>IF(ISNUMBER('Resol  Asuntos'!D10/NºAsuntos!G10),'Resol  Asuntos'!D10/NºAsuntos!G10," - ")</f>
        <v>0.66666666666666663</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2.1836734693877551</v>
      </c>
      <c r="C12" s="443">
        <f>IF(ISNUMBER(NºAsuntos!I12/NºAsuntos!G12),NºAsuntos!I12/NºAsuntos!G12," - ")</f>
        <v>0.92056074766355145</v>
      </c>
      <c r="D12" s="444">
        <f>IF(ISNUMBER('Resol  Asuntos'!D12/NºAsuntos!G12),'Resol  Asuntos'!D12/NºAsuntos!G12," - ")</f>
        <v>0.29127725856697817</v>
      </c>
      <c r="E12" s="445">
        <f>IF(ISNUMBER((NºAsuntos!C12+NºAsuntos!E12)/NºAsuntos!G12),(NºAsuntos!C12+NºAsuntos!E12)/NºAsuntos!G12," - ")</f>
        <v>1.9205607476635513</v>
      </c>
      <c r="G12" s="463"/>
    </row>
    <row r="13" spans="1:7" ht="14.25" thickTop="1" thickBot="1">
      <c r="A13" s="848" t="str">
        <f>Datos!A13</f>
        <v>TOTAL</v>
      </c>
      <c r="B13" s="858">
        <f>IF(ISNUMBER(NºAsuntos!G13/NºAsuntos!E13),NºAsuntos!G13/NºAsuntos!E13," - ")</f>
        <v>2.1790540540540539</v>
      </c>
      <c r="C13" s="859">
        <f>IF(ISNUMBER(NºAsuntos!I13/NºAsuntos!G13),NºAsuntos!I13/NºAsuntos!G13," - ")</f>
        <v>0.92093023255813955</v>
      </c>
      <c r="D13" s="860">
        <f>IF(ISNUMBER('Resol  Asuntos'!D13/NºAsuntos!G13),'Resol  Asuntos'!D13/NºAsuntos!G13," - ")</f>
        <v>0.2930232558139535</v>
      </c>
      <c r="E13" s="861">
        <f>IF(ISNUMBER((NºAsuntos!C13+NºAsuntos!E13)/NºAsuntos!G13),(NºAsuntos!C13+NºAsuntos!E13)/NºAsuntos!G13," - ")</f>
        <v>1.9209302325581394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1.0386100386100385</v>
      </c>
      <c r="C16" s="443">
        <f>IF(ISNUMBER(NºAsuntos!I16/NºAsuntos!G16),NºAsuntos!I16/NºAsuntos!G16," - ")</f>
        <v>2.1189591078066914</v>
      </c>
      <c r="D16" s="444">
        <f>IF(ISNUMBER('Resol  Asuntos'!D16/NºAsuntos!G16),'Resol  Asuntos'!D16/NºAsuntos!G16," - ")</f>
        <v>0.24163568773234201</v>
      </c>
      <c r="E16" s="445">
        <f>IF(ISNUMBER((NºAsuntos!C16+NºAsuntos!E16)/NºAsuntos!G16),(NºAsuntos!C16+NºAsuntos!E16)/NºAsuntos!G16," - ")</f>
        <v>3.1189591078066914</v>
      </c>
      <c r="G16" s="463"/>
    </row>
    <row r="17" spans="1:7" ht="13.5" thickBot="1">
      <c r="A17" s="402" t="str">
        <f>Datos!A17</f>
        <v>Jdos. Violencia contra la mujer</v>
      </c>
      <c r="B17" s="442">
        <f>IF(ISNUMBER(NºAsuntos!G17/NºAsuntos!E17),NºAsuntos!G17/NºAsuntos!E17," - ")</f>
        <v>1.588235294117647</v>
      </c>
      <c r="C17" s="443">
        <f>IF(ISNUMBER(NºAsuntos!I17/NºAsuntos!G17),NºAsuntos!I17/NºAsuntos!G17," - ")</f>
        <v>0.88888888888888884</v>
      </c>
      <c r="D17" s="444">
        <f>IF(ISNUMBER('Resol  Asuntos'!D17/NºAsuntos!G17),'Resol  Asuntos'!D17/NºAsuntos!G17," - ")</f>
        <v>0.22222222222222221</v>
      </c>
      <c r="E17" s="445">
        <f>IF(ISNUMBER((NºAsuntos!C17+NºAsuntos!E17)/NºAsuntos!G17),(NºAsuntos!C17+NºAsuntos!E17)/NºAsuntos!G17," - ")</f>
        <v>1.8888888888888888</v>
      </c>
      <c r="G17" s="463"/>
    </row>
    <row r="18" spans="1:7" ht="14.25" thickTop="1" thickBot="1">
      <c r="A18" s="848" t="str">
        <f>Datos!A18</f>
        <v>TOTAL</v>
      </c>
      <c r="B18" s="858">
        <f>IF(ISNUMBER(NºAsuntos!G18/NºAsuntos!E18),NºAsuntos!G18/NºAsuntos!E18," - ")</f>
        <v>1.0724637681159421</v>
      </c>
      <c r="C18" s="859">
        <f>IF(ISNUMBER(NºAsuntos!I18/NºAsuntos!G18),NºAsuntos!I18/NºAsuntos!G18," - ")</f>
        <v>2.0067567567567566</v>
      </c>
      <c r="D18" s="862">
        <f>IF(ISNUMBER('Resol  Asuntos'!D18/NºAsuntos!G18),'Resol  Asuntos'!D18/NºAsuntos!G18," - ")</f>
        <v>0.23986486486486486</v>
      </c>
      <c r="E18" s="861">
        <f>IF(ISNUMBER((NºAsuntos!C18+NºAsuntos!E18)/NºAsuntos!G18),(NºAsuntos!C18+NºAsuntos!E18)/NºAsuntos!G18," - ")</f>
        <v>3.0067567567567566</v>
      </c>
      <c r="G18" s="463"/>
    </row>
    <row r="19" spans="1:7" ht="15.75" customHeight="1" thickTop="1" thickBot="1">
      <c r="A19" s="793" t="str">
        <f>Datos!A19</f>
        <v>TOTAL JURISDICCIONES</v>
      </c>
      <c r="B19" s="808">
        <f>IF(ISNUMBER(NºAsuntos!G19/NºAsuntos!E19),NºAsuntos!G19/NºAsuntos!E19," - ")</f>
        <v>1.6451048951048952</v>
      </c>
      <c r="C19" s="809">
        <f>IF(ISNUMBER(NºAsuntos!I19/NºAsuntos!G19),NºAsuntos!I19/NºAsuntos!G19," - ")</f>
        <v>1.2624867162592985</v>
      </c>
      <c r="D19" s="810">
        <f>IF(ISNUMBER('Resol  Asuntos'!D19/NºAsuntos!G19),'Resol  Asuntos'!D19/NºAsuntos!G19," - ")</f>
        <v>0.27630180658873538</v>
      </c>
      <c r="E19" s="811">
        <f>IF(ISNUMBER((NºAsuntos!C19+NºAsuntos!E19)/NºAsuntos!G19),(NºAsuntos!C19+NºAsuntos!E19)/NºAsuntos!G19," - ")</f>
        <v>2.2624867162592985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LS42f9NsrBceZkLQNRFrs3UqDJft4oM5KfYg/lqqswZkAFdjnjZe9RLLdR6Idl7mbbH5N5RwlE7p0piPIN1YA==" saltValue="IQ06toI0qQk/oQaNVM0v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LA RIOJA</v>
      </c>
      <c r="G2" s="263"/>
      <c r="H2" s="262"/>
      <c r="I2" s="262"/>
      <c r="J2" s="262"/>
      <c r="K2" s="262"/>
      <c r="L2" s="262" t="str">
        <f>Criterios!A10 &amp;"  "&amp;Criterios!B10</f>
        <v>Provincias  LA RIOJA</v>
      </c>
      <c r="N2" s="262" t="str">
        <f>Criterios!A11 &amp;"  "&amp;Criterios!B11</f>
        <v>Resumenes por Partidos Judiciales  HARO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1</v>
      </c>
      <c r="Y10" s="334">
        <f t="shared" ref="Y10:Y12" si="0">SUM(W10:X10)</f>
        <v>4</v>
      </c>
      <c r="Z10" s="335" t="str">
        <f>IF(ISNUMBER(Datos!CC10),Datos!CC10," - ")</f>
        <v xml:space="preserve"> - </v>
      </c>
      <c r="AA10" s="332">
        <f>IF(ISNUMBER(Datos!L10),Datos!L10,"-")</f>
        <v>3</v>
      </c>
      <c r="AB10" s="334">
        <f>IF(ISNUMBER(Datos!R10),Datos!R10," - ")</f>
        <v>4</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3</v>
      </c>
      <c r="AN10" s="244">
        <f>IF(ISNUMBER('Resol  Asuntos'!D10/NºAsuntos!G10),'Resol  Asuntos'!D10/NºAsuntos!G10," - ")</f>
        <v>0.66666666666666663</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165</v>
      </c>
      <c r="Y12" s="334">
        <f t="shared" si="0"/>
        <v>165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1488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187</v>
      </c>
      <c r="AJ12" s="229" t="str">
        <f>IF(ISNUMBER(Datos!BW12),Datos!BW12," - ")</f>
        <v xml:space="preserve"> - </v>
      </c>
      <c r="AK12" s="228" t="str">
        <f>IF(ISNUMBER(Datos!BX12),Datos!BX12," - ")</f>
        <v xml:space="preserve"> - </v>
      </c>
      <c r="AL12" s="243">
        <f>IF(ISNUMBER(NºAsuntos!G12/NºAsuntos!E12),NºAsuntos!G12/NºAsuntos!E12," - ")</f>
        <v>2.1836734693877551</v>
      </c>
      <c r="AM12" s="260">
        <f>IF(ISNUMBER(((NºAsuntos!I12/NºAsuntos!G12)*11)/factor_trimestre),((NºAsuntos!I12/NºAsuntos!G12)*11)/factor_trimestre," - ")</f>
        <v>2.7616822429906547</v>
      </c>
      <c r="AN12" s="244">
        <f>IF(ISNUMBER('Resol  Asuntos'!D12/NºAsuntos!G12),'Resol  Asuntos'!D12/NºAsuntos!G12," - ")</f>
        <v>0.29127725856697817</v>
      </c>
      <c r="AO12" s="245">
        <f>IF(ISNUMBER((NºAsuntos!C12+NºAsuntos!E12)/NºAsuntos!G12),(NºAsuntos!C12+NºAsuntos!E12)/NºAsuntos!G12," - ")</f>
        <v>1.9205607476635513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135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166</v>
      </c>
      <c r="Y13" s="868">
        <f t="shared" si="4"/>
        <v>169</v>
      </c>
      <c r="Z13" s="868">
        <f t="shared" si="4"/>
        <v>0</v>
      </c>
      <c r="AA13" s="868">
        <f t="shared" si="4"/>
        <v>3</v>
      </c>
      <c r="AB13" s="868">
        <f t="shared" si="4"/>
        <v>1492</v>
      </c>
      <c r="AC13" s="868">
        <f t="shared" si="4"/>
        <v>7</v>
      </c>
      <c r="AD13" s="868">
        <f t="shared" si="4"/>
        <v>0</v>
      </c>
      <c r="AE13" s="872">
        <f t="shared" si="4"/>
        <v>0</v>
      </c>
      <c r="AF13" s="865">
        <f t="shared" si="4"/>
        <v>0</v>
      </c>
      <c r="AG13" s="873">
        <f t="shared" si="4"/>
        <v>0</v>
      </c>
      <c r="AH13" s="870">
        <f t="shared" si="4"/>
        <v>0</v>
      </c>
      <c r="AI13" s="865">
        <f t="shared" si="4"/>
        <v>189</v>
      </c>
      <c r="AJ13" s="867">
        <f t="shared" si="4"/>
        <v>0</v>
      </c>
      <c r="AK13" s="870">
        <f>SUBTOTAL(9,AK9:AK12)</f>
        <v>0</v>
      </c>
      <c r="AL13" s="874">
        <f>IF(ISNUMBER(NºAsuntos!G13/NºAsuntos!E13),NºAsuntos!G13/NºAsuntos!E13," - ")</f>
        <v>2.1790540540540539</v>
      </c>
      <c r="AM13" s="874">
        <f>IF(ISNUMBER(((NºAsuntos!I13/NºAsuntos!G13)*11)/factor_trimestre),((NºAsuntos!I13/NºAsuntos!G13)*11)/factor_trimestre," - ")</f>
        <v>2.762790697674419</v>
      </c>
      <c r="AN13" s="875">
        <f>IF(ISNUMBER('Resol  Asuntos'!D13/NºAsuntos!G13),'Resol  Asuntos'!D13/NºAsuntos!G13," - ")</f>
        <v>0.2930232558139535</v>
      </c>
      <c r="AO13" s="876">
        <f>IF(ISNUMBER((NºAsuntos!C13+NºAsuntos!E13)/NºAsuntos!G13),(NºAsuntos!C13+NºAsuntos!E13)/NºAsuntos!G13," - ")</f>
        <v>1.9209302325581394</v>
      </c>
      <c r="AP13" s="877" t="str">
        <f t="shared" si="2"/>
        <v xml:space="preserve"> - </v>
      </c>
      <c r="AQ13" s="877">
        <f>IF(ISNUMBER((H13-W13+K13)/(F13)),(H13-W13+K13)/(F13)," - ")</f>
        <v>-0.75</v>
      </c>
      <c r="AR13" s="878">
        <f>IF(ISNUMBER((Datos!P13-Datos!Q13)/(Datos!R13-Datos!P13+Datos!Q13)),(Datos!P13-Datos!Q13)/(Datos!R13-Datos!P13+Datos!Q13)," - ")</f>
        <v>-2.0354563361785948E-2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580</v>
      </c>
      <c r="G16" s="333">
        <f>IF(ISNUMBER(IF(D_I="SI",Datos!I16,Datos!I16+Datos!AC16)),IF(D_I="SI",Datos!I16,Datos!I16+Datos!AC16)," - ")</f>
        <v>580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269</v>
      </c>
      <c r="X16" s="226">
        <f>IF(ISNUMBER(Datos!Q16),Datos!Q16," - ")</f>
        <v>5</v>
      </c>
      <c r="Y16" s="334">
        <f t="shared" ref="Y16:Y17" si="7">SUM(W16:X16)</f>
        <v>274</v>
      </c>
      <c r="Z16" s="335" t="str">
        <f>IF(ISNUMBER(Datos!CC16),Datos!CC16," - ")</f>
        <v xml:space="preserve"> - </v>
      </c>
      <c r="AA16" s="332">
        <f>IF(ISNUMBER(IF(D_I="SI",Datos!L16,Datos!L16+Datos!AF16)),IF(D_I="SI",Datos!L16,Datos!L16+Datos!AF16)," - ")</f>
        <v>570</v>
      </c>
      <c r="AB16" s="334">
        <f>IF(ISNUMBER(Datos!R16),Datos!R16," - ")</f>
        <v>51</v>
      </c>
      <c r="AC16" s="334">
        <f t="shared" si="6"/>
        <v>621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65</v>
      </c>
      <c r="AJ16" s="231" t="str">
        <f>IF(ISNUMBER(Datos!BW16),Datos!BW16," - ")</f>
        <v xml:space="preserve"> - </v>
      </c>
      <c r="AK16" s="232" t="str">
        <f>IF(ISNUMBER(Datos!BX16),Datos!BX16," - ")</f>
        <v xml:space="preserve"> - </v>
      </c>
      <c r="AL16" s="243">
        <f>IF(ISNUMBER(NºAsuntos!G16/NºAsuntos!E16),NºAsuntos!G16/NºAsuntos!E16," - ")</f>
        <v>1.0386100386100385</v>
      </c>
      <c r="AM16" s="260">
        <f>IF(ISNUMBER(((NºAsuntos!I16/NºAsuntos!G16)*11)/factor_trimestre),((NºAsuntos!I16/NºAsuntos!G16)*11)/factor_trimestre," - ")</f>
        <v>6.3568773234200746</v>
      </c>
      <c r="AN16" s="244">
        <f>IF(ISNUMBER('Resol  Asuntos'!D16/NºAsuntos!G16),'Resol  Asuntos'!D16/NºAsuntos!G16," - ")</f>
        <v>0.24163568773234201</v>
      </c>
      <c r="AO16" s="245">
        <f>IF(ISNUMBER((NºAsuntos!C16+NºAsuntos!E16)/NºAsuntos!G16),(NºAsuntos!C16+NºAsuntos!E16)/NºAsuntos!G16," - ")</f>
        <v>3.1189591078066914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24</v>
      </c>
      <c r="AB17" s="334">
        <f>IF(ISNUMBER(Datos!R17),Datos!R17," - ")</f>
        <v>0</v>
      </c>
      <c r="AC17" s="334">
        <f t="shared" si="6"/>
        <v>24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1.588235294117647</v>
      </c>
      <c r="AM17" s="260">
        <f>IF(ISNUMBER(((NºAsuntos!I17/NºAsuntos!G17)*11)/factor_trimestre),((NºAsuntos!I17/NºAsuntos!G17)*11)/factor_trimestre," - ")</f>
        <v>2.6666666666666665</v>
      </c>
      <c r="AN17" s="244">
        <f>IF(ISNUMBER('Resol  Asuntos'!D17/NºAsuntos!G17),'Resol  Asuntos'!D17/NºAsuntos!G17," - ")</f>
        <v>0.22222222222222221</v>
      </c>
      <c r="AO17" s="245">
        <f>IF(ISNUMBER((NºAsuntos!C17+NºAsuntos!E17)/NºAsuntos!G17),(NºAsuntos!C17+NºAsuntos!E17)/NºAsuntos!G17," - ")</f>
        <v>1.8888888888888888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580</v>
      </c>
      <c r="G18" s="866">
        <f>SUBTOTAL(9,G15:G17)</f>
        <v>614</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296</v>
      </c>
      <c r="X18" s="867">
        <f t="shared" si="11"/>
        <v>5</v>
      </c>
      <c r="Y18" s="868">
        <f t="shared" si="11"/>
        <v>301</v>
      </c>
      <c r="Z18" s="868">
        <f t="shared" si="11"/>
        <v>0</v>
      </c>
      <c r="AA18" s="868">
        <f t="shared" si="11"/>
        <v>594</v>
      </c>
      <c r="AB18" s="868">
        <f t="shared" si="11"/>
        <v>51</v>
      </c>
      <c r="AC18" s="868">
        <f t="shared" si="11"/>
        <v>645</v>
      </c>
      <c r="AD18" s="868">
        <f t="shared" si="11"/>
        <v>0</v>
      </c>
      <c r="AE18" s="872">
        <f t="shared" si="11"/>
        <v>0</v>
      </c>
      <c r="AF18" s="865">
        <f t="shared" si="11"/>
        <v>0</v>
      </c>
      <c r="AG18" s="873">
        <f t="shared" si="11"/>
        <v>0</v>
      </c>
      <c r="AH18" s="870">
        <f t="shared" si="11"/>
        <v>0</v>
      </c>
      <c r="AI18" s="865">
        <f t="shared" si="11"/>
        <v>71</v>
      </c>
      <c r="AJ18" s="867">
        <f t="shared" si="11"/>
        <v>0</v>
      </c>
      <c r="AK18" s="870">
        <f t="shared" si="11"/>
        <v>0</v>
      </c>
      <c r="AL18" s="874">
        <f>IF(ISNUMBER(NºAsuntos!G18/NºAsuntos!E18),NºAsuntos!G18/NºAsuntos!E18," - ")</f>
        <v>1.0724637681159421</v>
      </c>
      <c r="AM18" s="874">
        <f>IF(ISNUMBER(((NºAsuntos!I18/NºAsuntos!G18)*11)/factor_trimestre),((NºAsuntos!I18/NºAsuntos!G18)*11)/factor_trimestre," - ")</f>
        <v>6.0202702702702702</v>
      </c>
      <c r="AN18" s="875">
        <f>IF(ISNUMBER('Resol  Asuntos'!D18/NºAsuntos!G18),'Resol  Asuntos'!D18/NºAsuntos!G18," - ")</f>
        <v>0.23986486486486486</v>
      </c>
      <c r="AO18" s="876">
        <f>IF(ISNUMBER((NºAsuntos!C18+NºAsuntos!E18)/NºAsuntos!G18),(NºAsuntos!C18+NºAsuntos!E18)/NºAsuntos!G18," - ")</f>
        <v>3.0067567567567566</v>
      </c>
      <c r="AP18" s="877" t="str">
        <f t="shared" si="2"/>
        <v xml:space="preserve"> - </v>
      </c>
      <c r="AQ18" s="877">
        <f>IF(ISNUMBER((H18-W18+K18)/(F18)),(H18-W18+K18)/(F18)," - ")</f>
        <v>-0.51034482758620692</v>
      </c>
      <c r="AR18" s="878">
        <f>IF(ISNUMBER((Datos!P18-Datos!Q18)/(Datos!R18-Datos!P18+Datos!Q18)),(Datos!P18-Datos!Q18)/(Datos!R18-Datos!P18+Datos!Q18)," - ")</f>
        <v>0.13333333333333333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584</v>
      </c>
      <c r="G19" s="821">
        <f t="shared" si="13"/>
        <v>618</v>
      </c>
      <c r="H19" s="820">
        <f t="shared" si="13"/>
        <v>0</v>
      </c>
      <c r="I19" s="822">
        <f t="shared" si="13"/>
        <v>0</v>
      </c>
      <c r="J19" s="822">
        <f t="shared" si="13"/>
        <v>0</v>
      </c>
      <c r="K19" s="881">
        <f t="shared" si="13"/>
        <v>0</v>
      </c>
      <c r="L19" s="822">
        <f t="shared" si="13"/>
        <v>146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299</v>
      </c>
      <c r="X19" s="821">
        <f t="shared" si="14"/>
        <v>171</v>
      </c>
      <c r="Y19" s="828">
        <f t="shared" si="14"/>
        <v>470</v>
      </c>
      <c r="Z19" s="828">
        <f t="shared" si="14"/>
        <v>0</v>
      </c>
      <c r="AA19" s="828">
        <f t="shared" si="14"/>
        <v>597</v>
      </c>
      <c r="AB19" s="828">
        <f t="shared" si="14"/>
        <v>1543</v>
      </c>
      <c r="AC19" s="828">
        <f t="shared" si="14"/>
        <v>652</v>
      </c>
      <c r="AD19" s="828">
        <f t="shared" si="14"/>
        <v>0</v>
      </c>
      <c r="AE19" s="830">
        <f t="shared" si="14"/>
        <v>0</v>
      </c>
      <c r="AF19" s="831">
        <f t="shared" si="14"/>
        <v>0</v>
      </c>
      <c r="AG19" s="832">
        <f t="shared" si="14"/>
        <v>0</v>
      </c>
      <c r="AH19" s="830">
        <f t="shared" si="14"/>
        <v>0</v>
      </c>
      <c r="AI19" s="820">
        <f t="shared" si="14"/>
        <v>260</v>
      </c>
      <c r="AJ19" s="820">
        <f t="shared" si="14"/>
        <v>0</v>
      </c>
      <c r="AK19" s="830">
        <f t="shared" si="14"/>
        <v>0</v>
      </c>
      <c r="AL19" s="884">
        <f>IF(ISNUMBER(NºAsuntos!G19/NºAsuntos!E19),NºAsuntos!G19/NºAsuntos!E19," - ")</f>
        <v>1.6451048951048952</v>
      </c>
      <c r="AM19" s="885">
        <f>IF(ISNUMBER(((NºAsuntos!I19/NºAsuntos!G19)*11)/factor_trimestre),((NºAsuntos!I19/NºAsuntos!G19)*11)/factor_trimestre," - ")</f>
        <v>3.7874601487778961</v>
      </c>
      <c r="AN19" s="885">
        <f>IF(ISNUMBER('Resol  Asuntos'!D19/NºAsuntos!G19),'Resol  Asuntos'!D19/NºAsuntos!G19," - ")</f>
        <v>0.27630180658873538</v>
      </c>
      <c r="AO19" s="886">
        <f>IF(ISNUMBER((NºAsuntos!C19+NºAsuntos!E19)/NºAsuntos!G19),(NºAsuntos!C19+NºAsuntos!E19)/NºAsuntos!G19," - ")</f>
        <v>2.2624867162592985</v>
      </c>
      <c r="AP19" s="887" t="str">
        <f t="shared" si="2"/>
        <v xml:space="preserve"> - </v>
      </c>
      <c r="AQ19" s="888">
        <f>IF(OR(ISNUMBER(FIND("01",Criterios!A8,1)),ISNUMBER(FIND("02",Criterios!A8,1)),ISNUMBER(FIND("03",Criterios!A8,1)),ISNUMBER(FIND("04",Criterios!A8,1))),(I19-W19+K19)/(F19-K19),(H19-W19+K19)/(F19-K19))</f>
        <v>-0.51198630136986301</v>
      </c>
      <c r="AR19" s="889">
        <f>IF(ISNUMBER((Datos!P19-Datos!Q19)/(Datos!R19-Datos!P19+Datos!Q19)),(Datos!P19-Datos!Q19)/(Datos!R19-Datos!P19+Datos!Q19)," - ")</f>
        <v>-1.5943877551020409E-2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332.55375505322445</v>
      </c>
      <c r="G21" s="253">
        <f>IF(ISNUMBER(STDEV(G8:G18)),STDEV(G8:G18),"-")</f>
        <v>319.78305145832854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149.33452380477866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83.581497154972439</v>
      </c>
      <c r="AJ21" s="252">
        <f t="shared" si="18"/>
        <v>0</v>
      </c>
      <c r="AK21" s="254">
        <f t="shared" si="18"/>
        <v>0</v>
      </c>
      <c r="AL21" s="249">
        <f t="shared" si="18"/>
        <v>0.50583192592111548</v>
      </c>
      <c r="AM21" s="250">
        <f t="shared" si="18"/>
        <v>1.7576800350833384</v>
      </c>
      <c r="AN21" s="250">
        <f t="shared" si="18"/>
        <v>0.16950106313602431</v>
      </c>
      <c r="AO21" s="251">
        <f t="shared" si="18"/>
        <v>0.5858933450277789</v>
      </c>
      <c r="AP21" s="291" t="str">
        <f t="shared" si="18"/>
        <v>-</v>
      </c>
      <c r="AQ21" s="292">
        <f t="shared" si="18"/>
        <v>0.16946179756022406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KCZvhN0E7vJZ/nRxaheZwHYVv5MOwLZ+tTkULd7lSBhnu5Uwk/0X99hiD8d73BtK8w7QDPbfA5fuZN9o9KxZsA==" saltValue="o/736oyqG09MVdjINf8/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LA RIOJA</v>
      </c>
      <c r="E2" s="263"/>
    </row>
    <row r="3" spans="2:20" ht="17.25" customHeight="1">
      <c r="C3" s="267"/>
      <c r="D3" s="262" t="str">
        <f>Criterios!A10 &amp;"  "&amp;Criterios!B10</f>
        <v>Provincias  LA RIOJA</v>
      </c>
      <c r="E3" s="263"/>
    </row>
    <row r="4" spans="2:20" ht="17.25" customHeight="1" thickBot="1">
      <c r="D4" s="262" t="str">
        <f>Criterios!A11 &amp;"  "&amp;Criterios!B11</f>
        <v>Resumenes por Partidos Judiciales  HARO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1</v>
      </c>
      <c r="F10" s="348">
        <f>IF(ISNUMBER((Datos!K10-Datos!U10)/Datos!U10),(Datos!K10-Datos!U10)/Datos!U10," - ")</f>
        <v>2</v>
      </c>
      <c r="G10" s="349" t="str">
        <f>IF(ISNUMBER((Datos!L10-Datos!V10)/Datos!V10),(Datos!L10-Datos!V10)/Datos!V10," - ")</f>
        <v xml:space="preserve"> - </v>
      </c>
      <c r="H10" s="230">
        <f>IF(ISNUMBER((Datos!M10-Datos!W10)/Datos!W10),(Datos!M10-Datos!W10)/Datos!W10," - ")</f>
        <v>1</v>
      </c>
      <c r="I10" s="350" t="str">
        <f>IF(ISNUMBER((Tasas!C10-Datos!BE10)/Datos!BE10),(Tasas!C10-Datos!BE10)/Datos!BE10," - ")</f>
        <v xml:space="preserve"> - </v>
      </c>
      <c r="J10" s="349">
        <f>IF(ISNUMBER((Tasas!D10-Datos!BF10)/Datos!BF10),(Tasas!D10-Datos!BF10)/Datos!BF10," - ")</f>
        <v>-0.33333333333333337</v>
      </c>
      <c r="K10" s="351">
        <f>IF(ISNUMBER((Tasas!E10-Datos!BG10)/Datos!BG10),(Tasas!E10-Datos!BG10)/Datos!BG10," - ")</f>
        <v>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0.48412698412698413</v>
      </c>
      <c r="I12" s="350">
        <f>IF(ISNUMBER((Tasas!C12-Datos!BE12)/Datos!BE12),(Tasas!C12-Datos!BE12)/Datos!BE12," - ")</f>
        <v>-0.54790047472089376</v>
      </c>
      <c r="J12" s="349">
        <f>IF(ISNUMBER((Tasas!D12-Datos!BF12)/Datos!BF12),(Tasas!D12-Datos!BF12)/Datos!BF12," - ")</f>
        <v>-0.32929578619445815</v>
      </c>
      <c r="K12" s="351">
        <f>IF(ISNUMBER((Tasas!E12-Datos!BG12)/Datos!BG12),(Tasas!E12-Datos!BG12)/Datos!BG12," - ")</f>
        <v>-0.36744391937053678</v>
      </c>
      <c r="M12" t="e">
        <f>IF(Monitorios="SI",Datos!CE12,0)</f>
        <v>#REF!</v>
      </c>
      <c r="N12" t="e">
        <f>IF(Monitorios="SI",Datos!CF12,0)</f>
        <v>#REF!</v>
      </c>
      <c r="O12" t="e">
        <f>IF(Monitorios="SI",Datos!CG12,0)</f>
        <v>#REF!</v>
      </c>
      <c r="P12" t="e">
        <f>IF(Monitorios="SI",Datos!CH12,0)</f>
        <v>#REF!</v>
      </c>
      <c r="Q12">
        <f>IF(J_V="SI",0,Datos!AG12)</f>
        <v>31</v>
      </c>
      <c r="R12">
        <f>IF(J_V="SI",0,Datos!AH12)</f>
        <v>39</v>
      </c>
      <c r="S12">
        <f>IF(J_V="SI",0,Datos!AI12)</f>
        <v>43</v>
      </c>
      <c r="T12">
        <f>IF(J_V="SI",0,Datos!AJ12)</f>
        <v>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0.48818897637795278</v>
      </c>
      <c r="I13" s="357">
        <f>IF(ISNUMBER((Tasas!C13-Datos!BE13)/Datos!BE13),(Tasas!C13-Datos!BE13)/Datos!BE13," - ")</f>
        <v>-0.54685752822677136</v>
      </c>
      <c r="J13" s="355">
        <f>IF(ISNUMBER((Tasas!D13-Datos!BF13)/Datos!BF13),(Tasas!D13-Datos!BF13)/Datos!BF13," - ")</f>
        <v>-0.32694221590332079</v>
      </c>
      <c r="K13" s="358">
        <f>IF(ISNUMBER((Tasas!E13-Datos!BG13)/Datos!BG13),(Tasas!E13-Datos!BG13)/Datos!BG13," - ")</f>
        <v>-0.36651454399650074</v>
      </c>
      <c r="M13" t="e">
        <f>IF(Monitorios="SI",Datos!CE13,0)</f>
        <v>#REF!</v>
      </c>
      <c r="N13" t="e">
        <f>IF(Monitorios="SI",Datos!CF13,0)</f>
        <v>#REF!</v>
      </c>
      <c r="O13" t="e">
        <f>IF(Monitorios="SI",Datos!CG13,0)</f>
        <v>#REF!</v>
      </c>
      <c r="P13" t="e">
        <f>IF(Monitorios="SI",Datos!CH13,0)</f>
        <v>#REF!</v>
      </c>
      <c r="Q13">
        <f>IF(J_V="SI",0,Datos!AG13)</f>
        <v>31</v>
      </c>
      <c r="R13">
        <f>IF(J_V="SI",0,Datos!AH13)</f>
        <v>39</v>
      </c>
      <c r="S13">
        <f>IF(J_V="SI",0,Datos!AI13)</f>
        <v>43</v>
      </c>
      <c r="T13">
        <f>IF(J_V="SI",0,Datos!AJ13)</f>
        <v>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0.21593291404612158</v>
      </c>
      <c r="E16" s="348">
        <f>IF(ISNUMBER(
   IF(D_I="SI",(Datos!J16-Datos!T16)/Datos!T16,(Datos!J16+Datos!AD16-(Datos!T16+Datos!AL16))/(Datos!T16+Datos!AL16))
     ),IF(D_I="SI",(Datos!J16-Datos!T16)/Datos!T16,(Datos!J16+Datos!AD16-(Datos!T16+Datos!AL16))/(Datos!T16+Datos!AL16))," - ")</f>
        <v>2.3715415019762844E-2</v>
      </c>
      <c r="F16" s="348">
        <f>IF(ISNUMBER(
   IF(D_I="SI",(Datos!K16-Datos!U16)/Datos!U16,(Datos!K16+Datos!AE16-(Datos!U16+Datos!AM16))/(Datos!U16+Datos!AM16))
     ),IF(D_I="SI",(Datos!K16-Datos!U16)/Datos!U16,(Datos!K16+Datos!AE16-(Datos!U16+Datos!AM16))/(Datos!U16+Datos!AM16))," - ")</f>
        <v>9.7959183673469383E-2</v>
      </c>
      <c r="G16" s="349">
        <f>IF(ISNUMBER(
   IF(D_I="SI",(Datos!L16-Datos!V16)/Datos!V16,(Datos!L16+Datos!AF16-(Datos!V16+Datos!AN16))/(Datos!V16+Datos!AN16))
     ),IF(D_I="SI",(Datos!L16-Datos!V16)/Datos!V16,(Datos!L16+Datos!AF16-(Datos!V16+Datos!AN16))/(Datos!V16+Datos!AN16))," - ")</f>
        <v>0.16564417177914109</v>
      </c>
      <c r="H16" s="230">
        <f>IF(ISNUMBER((Datos!M16-Datos!W16)/Datos!W16),(Datos!M16-Datos!W16)/Datos!W16," - ")</f>
        <v>0.54761904761904767</v>
      </c>
      <c r="I16" s="350">
        <f>IF(ISNUMBER((Tasas!C16-Datos!BE16)/Datos!BE16),(Tasas!C16-Datos!BE16)/Datos!BE16," - ")</f>
        <v>6.1646178757953786E-2</v>
      </c>
      <c r="J16" s="349">
        <f>IF(ISNUMBER((Tasas!D16-Datos!BF16)/Datos!BF16),(Tasas!D16-Datos!BF16)/Datos!BF16," - ")</f>
        <v>0.40954151177199505</v>
      </c>
      <c r="K16" s="351">
        <f>IF(ISNUMBER((Tasas!E16-Datos!BG16)/Datos!BG16),(Tasas!E16-Datos!BG16)/Datos!BG16," - ")</f>
        <v>4.6773947140601832E-2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-0.33333333333333331</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-0.27027027027027029</v>
      </c>
      <c r="G17" s="349">
        <f>IF(ISNUMBER(
   IF(D_I="SI",(Datos!L17-Datos!V17)/Datos!V17,(Datos!L17+Datos!AF17-(Datos!V17+Datos!AN17))/(Datos!V17+Datos!AN17))
     ),IF(D_I="SI",(Datos!L17-Datos!V17)/Datos!V17,(Datos!L17+Datos!AF17-(Datos!V17+Datos!AN17))/(Datos!V17+Datos!AN17))," - ")</f>
        <v>-0.5</v>
      </c>
      <c r="H17" s="230">
        <f>IF(ISNUMBER((Datos!M17-Datos!W17)/Datos!W17),(Datos!M17-Datos!W17)/Datos!W17," - ")</f>
        <v>1</v>
      </c>
      <c r="I17" s="350">
        <f>IF(ISNUMBER((Tasas!C17-Datos!BE17)/Datos!BE17),(Tasas!C17-Datos!BE17)/Datos!BE17," - ")</f>
        <v>-0.31481481481481488</v>
      </c>
      <c r="J17" s="349">
        <f>IF(ISNUMBER((Tasas!D17-Datos!BF17)/Datos!BF17),(Tasas!D17-Datos!BF17)/Datos!BF17," - ")</f>
        <v>1.7407407407407405</v>
      </c>
      <c r="K17" s="351">
        <f>IF(ISNUMBER((Tasas!E17-Datos!BG17)/Datos!BG17),(Tasas!E17-Datos!BG17)/Datos!BG17," - ")</f>
        <v>-0.17777777777777781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0.16287878787878787</v>
      </c>
      <c r="E18" s="354">
        <f>IF(ISNUMBER(
   IF(D_I="SI",(Datos!J18-Datos!T18)/Datos!T18,(Datos!J18+Datos!AD18-(Datos!T18+Datos!AL18))/(Datos!T18+Datos!AL18))
     ),IF(D_I="SI",(Datos!J18-Datos!T18)/Datos!T18,(Datos!J18+Datos!AD18-(Datos!T18+Datos!AL18))/(Datos!T18+Datos!AL18))," - ")</f>
        <v>-3.8327526132404179E-2</v>
      </c>
      <c r="F18" s="354">
        <f>IF(ISNUMBER(
   IF(D_I="SI",(Datos!K18-Datos!U18)/Datos!U18,(Datos!K18+Datos!AE18-(Datos!U18+Datos!AM18))/(Datos!U18+Datos!AM18))
     ),IF(D_I="SI",(Datos!K18-Datos!U18)/Datos!U18,(Datos!K18+Datos!AE18-(Datos!U18+Datos!AM18))/(Datos!U18+Datos!AM18))," - ")</f>
        <v>4.9645390070921988E-2</v>
      </c>
      <c r="G18" s="355">
        <f>IF(ISNUMBER(
   IF(D_I="SI",(Datos!L18-Datos!V18)/Datos!V18,(Datos!L18+Datos!AF18-(Datos!V18+Datos!AN18))/(Datos!V18+Datos!AN18))
     ),IF(D_I="SI",(Datos!L18-Datos!V18)/Datos!V18,(Datos!L18+Datos!AF18-(Datos!V18+Datos!AN18))/(Datos!V18+Datos!AN18))," - ")</f>
        <v>0.10614525139664804</v>
      </c>
      <c r="H18" s="356">
        <f>IF(ISNUMBER((Datos!M18-Datos!W18)/Datos!W18),(Datos!M18-Datos!W18)/Datos!W18," - ")</f>
        <v>0.57777777777777772</v>
      </c>
      <c r="I18" s="357">
        <f>IF(ISNUMBER((Tasas!C18-Datos!BE18)/Datos!BE18),(Tasas!C18-Datos!BE18)/Datos!BE18," - ")</f>
        <v>5.3827570587347016E-2</v>
      </c>
      <c r="J18" s="355">
        <f>IF(ISNUMBER((Tasas!D18-Datos!BF18)/Datos!BF18),(Tasas!D18-Datos!BF18)/Datos!BF18," - ")</f>
        <v>0.50315315315315301</v>
      </c>
      <c r="K18" s="358">
        <f>IF(ISNUMBER((Tasas!E18-Datos!BG18)/Datos!BG18),(Tasas!E18-Datos!BG18)/Datos!BG18," - ")</f>
        <v>4.0374730558779652E-2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-9.476744186046511E-2</v>
      </c>
      <c r="E19" s="363">
        <f>IF(ISNUMBER(
   IF(J_V="SI",(Datos!J19-Datos!T19)/Datos!T19,(Datos!J19+Datos!Z19-(Datos!T19+Datos!AH19))/(Datos!T19+Datos!AH19))
     ),IF(J_V="SI",(Datos!J19-Datos!T19)/Datos!T19,(Datos!J19+Datos!Z19-(Datos!T19+Datos!AH19))/(Datos!T19+Datos!AH19))," - ")</f>
        <v>-0.17101449275362318</v>
      </c>
      <c r="F19" s="363">
        <f>IF(ISNUMBER(
   IF(J_V="SI",(Datos!K19-Datos!U19)/Datos!U19,(Datos!K19+Datos!AA19-(Datos!U19+Datos!AI19))/(Datos!U19+Datos!AI19))
     ),IF(J_V="SI",(Datos!K19-Datos!U19)/Datos!U19,(Datos!K19+Datos!AA19-(Datos!U19+Datos!AI19))/(Datos!U19+Datos!AI19))," - ")</f>
        <v>0.16460396039603961</v>
      </c>
      <c r="G19" s="364">
        <f>IF(ISNUMBER(
   IF(J_V="SI",(Datos!L19-Datos!V19)/Datos!V19,(Datos!L19+Datos!AB19-(Datos!V19+Datos!AJ19))/(Datos!V19+Datos!AJ19))
     ),IF(J_V="SI",(Datos!L19-Datos!V19)/Datos!V19,(Datos!L19+Datos!AB19-(Datos!V19+Datos!AJ19))/(Datos!V19+Datos!AJ19))," - ")</f>
        <v>-0.26027397260273971</v>
      </c>
      <c r="H19" s="365">
        <f>IF(ISNUMBER((Datos!M19-Datos!W19)/Datos!W19),(Datos!M19-Datos!W19)/Datos!W19," - ")</f>
        <v>0.51162790697674421</v>
      </c>
      <c r="I19" s="362">
        <f>IF(ISNUMBER((Tasas!C19-Datos!BE19)/Datos!BE19),(Tasas!C19-Datos!BE19)/Datos!BE19," - ")</f>
        <v>-0.36482611037514745</v>
      </c>
      <c r="J19" s="363">
        <f>IF(ISNUMBER((Tasas!D19-Datos!BF19)/Datos!BF19),(Tasas!D19-Datos!BF19)/Datos!BF19," - ")</f>
        <v>-0.18521219078942275</v>
      </c>
      <c r="K19" s="364">
        <f>IF(ISNUMBER((Tasas!E19-Datos!BG19)/Datos!BG19),(Tasas!E19-Datos!BG19)/Datos!BG19," - ")</f>
        <v>-0.24145673579356303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0.30296716545183594</v>
      </c>
      <c r="E21" s="278">
        <f t="shared" si="1"/>
        <v>0.63064281213677997</v>
      </c>
      <c r="F21" s="278">
        <f t="shared" si="1"/>
        <v>1.0334425743863833</v>
      </c>
      <c r="G21" s="279">
        <f t="shared" si="1"/>
        <v>0.36833733423338239</v>
      </c>
      <c r="H21" s="285">
        <f t="shared" si="1"/>
        <v>0.24814492375843578</v>
      </c>
      <c r="I21" s="277">
        <f t="shared" si="1"/>
        <v>0.30418564764782718</v>
      </c>
      <c r="J21" s="278">
        <f t="shared" si="1"/>
        <v>0.81438276458763681</v>
      </c>
      <c r="K21" s="279">
        <f t="shared" si="1"/>
        <v>0.50983184488562905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L/nUwvrqwvK3RJ0x8UmOBHx4x+4DREk/RPdwKoElNrdbuSuSkvAzlAQ7G5Yruqn1BwRG0whcjbhykWI8N5v9Q==" saltValue="7ePZgaVwGEptzCvMqwyl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